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fhamdoun001\Documents\SAMA Consumer Lending Regulations\APR Tool _ 2024\"/>
    </mc:Choice>
  </mc:AlternateContent>
  <xr:revisionPtr revIDLastSave="0" documentId="13_ncr:1_{669F7105-2E92-462D-8717-7465EB0BDD43}" xr6:coauthVersionLast="47" xr6:coauthVersionMax="47" xr10:uidLastSave="{00000000-0000-0000-0000-000000000000}"/>
  <bookViews>
    <workbookView xWindow="-108" yWindow="-108" windowWidth="23256" windowHeight="12576" tabRatio="862" firstSheet="1" activeTab="1" xr2:uid="{00000000-000D-0000-FFFF-FFFF00000000}"/>
  </bookViews>
  <sheets>
    <sheet name="التعريفات" sheetId="11" r:id="rId1"/>
    <sheet name="المدخلات" sheetId="9" r:id="rId2"/>
    <sheet name="التمويل الشخصي" sheetId="1" r:id="rId3"/>
    <sheet name="التمويل التأجيري" sheetId="23" r:id="rId4"/>
    <sheet name="التمويل العقاري" sheetId="13" r:id="rId5"/>
    <sheet name="بطاقات الائتمان" sheetId="14" r:id="rId6"/>
    <sheet name="الاقساط الغير متجانسة" sheetId="15" r:id="rId7"/>
    <sheet name="امثلة" sheetId="29" r:id="rId8"/>
    <sheet name="الاسئلة المتكررة" sheetId="25" r:id="rId9"/>
    <sheet name="مدخلات (متوسط التأمين)" sheetId="27" r:id="rId10"/>
    <sheet name="التمويل التأجيري -متوسط التأمين" sheetId="2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23" l="1"/>
  <c r="C20" i="28" l="1"/>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19" i="28"/>
  <c r="E60" i="9"/>
  <c r="R29" i="14"/>
  <c r="R28" i="14"/>
  <c r="R27" i="14"/>
  <c r="R26" i="14"/>
  <c r="R25" i="14"/>
  <c r="R24" i="14"/>
  <c r="R23" i="14"/>
  <c r="R22" i="14"/>
  <c r="R21" i="14"/>
  <c r="R20" i="14"/>
  <c r="R19" i="14"/>
  <c r="R18" i="14"/>
  <c r="R17" i="14"/>
  <c r="J14" i="15" l="1"/>
  <c r="C11" i="14"/>
  <c r="C9" i="14"/>
  <c r="C8" i="14"/>
  <c r="C13" i="13"/>
  <c r="C11" i="13"/>
  <c r="C8" i="13"/>
  <c r="C6" i="13"/>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C13" i="23"/>
  <c r="C11" i="23"/>
  <c r="C8" i="23"/>
  <c r="C6" i="23"/>
  <c r="C8" i="1"/>
  <c r="I36" i="9"/>
  <c r="J17" i="9" l="1"/>
  <c r="J42" i="9" l="1"/>
  <c r="E24" i="9"/>
  <c r="C73" i="15" l="1"/>
  <c r="E24" i="27"/>
  <c r="E41" i="9"/>
  <c r="J75" i="9"/>
  <c r="J74" i="9"/>
  <c r="J73" i="9"/>
  <c r="J58" i="9"/>
  <c r="J57" i="9"/>
  <c r="J56" i="9"/>
  <c r="J55" i="9"/>
  <c r="J54" i="9"/>
  <c r="J37" i="9"/>
  <c r="J36" i="9"/>
  <c r="J35" i="9"/>
  <c r="J34" i="9"/>
  <c r="C17" i="1" l="1"/>
  <c r="J17" i="1"/>
  <c r="K17" i="1"/>
  <c r="L17" i="1"/>
  <c r="C18" i="1"/>
  <c r="K18" i="1"/>
  <c r="C6" i="1"/>
  <c r="J373" i="15"/>
  <c r="J372" i="15"/>
  <c r="J371" i="15"/>
  <c r="J370" i="15"/>
  <c r="J369" i="15"/>
  <c r="J368" i="15"/>
  <c r="J367" i="15"/>
  <c r="J366" i="15"/>
  <c r="J365" i="15"/>
  <c r="J364" i="15"/>
  <c r="J363" i="15"/>
  <c r="J362" i="15"/>
  <c r="J361" i="15"/>
  <c r="J360" i="15"/>
  <c r="J359" i="15"/>
  <c r="J358" i="15"/>
  <c r="J357" i="15"/>
  <c r="J356" i="15"/>
  <c r="J355" i="15"/>
  <c r="J354" i="15"/>
  <c r="J353" i="15"/>
  <c r="J352" i="15"/>
  <c r="J351" i="15"/>
  <c r="J350" i="15"/>
  <c r="J349" i="15"/>
  <c r="J348" i="15"/>
  <c r="J347" i="15"/>
  <c r="J346" i="15"/>
  <c r="J345" i="15"/>
  <c r="J344" i="15"/>
  <c r="J343" i="15"/>
  <c r="J342" i="15"/>
  <c r="J341" i="15"/>
  <c r="J340" i="15"/>
  <c r="J339" i="15"/>
  <c r="J338" i="15"/>
  <c r="J337" i="15"/>
  <c r="J336" i="15"/>
  <c r="J335" i="15"/>
  <c r="J334" i="15"/>
  <c r="J333" i="15"/>
  <c r="J332" i="15"/>
  <c r="J331" i="15"/>
  <c r="J330" i="15"/>
  <c r="J329" i="15"/>
  <c r="J328" i="15"/>
  <c r="J327" i="15"/>
  <c r="J326" i="15"/>
  <c r="J325" i="15"/>
  <c r="J324" i="15"/>
  <c r="J323" i="15"/>
  <c r="J322" i="15"/>
  <c r="J321" i="15"/>
  <c r="J320" i="15"/>
  <c r="J319" i="15"/>
  <c r="J318" i="15"/>
  <c r="J317" i="15"/>
  <c r="J316" i="15"/>
  <c r="J315" i="15"/>
  <c r="J314" i="15"/>
  <c r="J313" i="15"/>
  <c r="J312" i="15"/>
  <c r="J311" i="15"/>
  <c r="J310" i="15"/>
  <c r="J309" i="15"/>
  <c r="J308" i="15"/>
  <c r="J307" i="15"/>
  <c r="J306" i="15"/>
  <c r="J305" i="15"/>
  <c r="J304" i="15"/>
  <c r="J303" i="15"/>
  <c r="J302" i="15"/>
  <c r="J301" i="15"/>
  <c r="J300" i="15"/>
  <c r="J299" i="15"/>
  <c r="J298" i="15"/>
  <c r="J297" i="15"/>
  <c r="J296" i="15"/>
  <c r="J295" i="15"/>
  <c r="J294" i="15"/>
  <c r="J293" i="15"/>
  <c r="J292" i="15"/>
  <c r="J291" i="15"/>
  <c r="J290" i="15"/>
  <c r="J289" i="15"/>
  <c r="J288" i="15"/>
  <c r="J287" i="15"/>
  <c r="J286" i="15"/>
  <c r="J285" i="15"/>
  <c r="J284" i="15"/>
  <c r="J283" i="15"/>
  <c r="J282" i="15"/>
  <c r="J281" i="15"/>
  <c r="J280" i="15"/>
  <c r="J279" i="15"/>
  <c r="J278" i="15"/>
  <c r="J277" i="15"/>
  <c r="J276" i="15"/>
  <c r="J275" i="15"/>
  <c r="J274" i="15"/>
  <c r="J273" i="15"/>
  <c r="J272" i="15"/>
  <c r="J271" i="15"/>
  <c r="J270" i="15"/>
  <c r="J269" i="15"/>
  <c r="J268" i="15"/>
  <c r="J267" i="15"/>
  <c r="J266" i="15"/>
  <c r="J265" i="15"/>
  <c r="J264" i="15"/>
  <c r="J263" i="15"/>
  <c r="J262" i="15"/>
  <c r="J261" i="15"/>
  <c r="J260" i="15"/>
  <c r="J259" i="15"/>
  <c r="J258" i="15"/>
  <c r="J257" i="15"/>
  <c r="J256" i="15"/>
  <c r="J255" i="15"/>
  <c r="J254" i="15"/>
  <c r="J253" i="15"/>
  <c r="J252" i="15"/>
  <c r="J251" i="15"/>
  <c r="J250" i="15"/>
  <c r="J249" i="15"/>
  <c r="J248" i="15"/>
  <c r="J247" i="15"/>
  <c r="J246" i="15"/>
  <c r="J245" i="15"/>
  <c r="J244" i="15"/>
  <c r="J243" i="15"/>
  <c r="J242" i="15"/>
  <c r="J241" i="15"/>
  <c r="J240" i="15"/>
  <c r="J239" i="15"/>
  <c r="J238" i="15"/>
  <c r="J237" i="15"/>
  <c r="J236" i="15"/>
  <c r="J235" i="15"/>
  <c r="J234" i="15"/>
  <c r="J233" i="15"/>
  <c r="J232" i="15"/>
  <c r="J231" i="15"/>
  <c r="J230" i="15"/>
  <c r="J229" i="15"/>
  <c r="J228" i="15"/>
  <c r="J227" i="15"/>
  <c r="J226" i="15"/>
  <c r="J225" i="15"/>
  <c r="J224" i="15"/>
  <c r="J223" i="15"/>
  <c r="J222" i="15"/>
  <c r="J221" i="15"/>
  <c r="J220" i="15"/>
  <c r="J219" i="15"/>
  <c r="J218" i="15"/>
  <c r="J217" i="15"/>
  <c r="J216" i="15"/>
  <c r="J215" i="15"/>
  <c r="J214" i="15"/>
  <c r="J213" i="15"/>
  <c r="J212" i="15"/>
  <c r="J211" i="15"/>
  <c r="J210" i="15"/>
  <c r="J209" i="15"/>
  <c r="J208" i="15"/>
  <c r="J207" i="15"/>
  <c r="J206" i="15"/>
  <c r="J205" i="15"/>
  <c r="J204" i="15"/>
  <c r="J203" i="15"/>
  <c r="J202" i="15"/>
  <c r="J201" i="15"/>
  <c r="J200" i="15"/>
  <c r="J199" i="15"/>
  <c r="J198" i="15"/>
  <c r="J197" i="15"/>
  <c r="J196" i="15"/>
  <c r="J195" i="15"/>
  <c r="J194" i="15"/>
  <c r="J193" i="15"/>
  <c r="J192" i="15"/>
  <c r="J191" i="15"/>
  <c r="J190" i="15"/>
  <c r="J189" i="15"/>
  <c r="J188" i="15"/>
  <c r="J187" i="15"/>
  <c r="J186" i="15"/>
  <c r="J185" i="15"/>
  <c r="J184" i="15"/>
  <c r="J183" i="15"/>
  <c r="J182" i="15"/>
  <c r="J181" i="15"/>
  <c r="J180" i="15"/>
  <c r="J179" i="15"/>
  <c r="J178" i="15"/>
  <c r="J177" i="15"/>
  <c r="J176" i="15"/>
  <c r="J175" i="15"/>
  <c r="J174" i="15"/>
  <c r="J173" i="15"/>
  <c r="J172" i="15"/>
  <c r="J171" i="15"/>
  <c r="J170" i="15"/>
  <c r="J169" i="15"/>
  <c r="J168" i="15"/>
  <c r="J167" i="15"/>
  <c r="J166" i="15"/>
  <c r="J165" i="15"/>
  <c r="J164" i="15"/>
  <c r="J163" i="15"/>
  <c r="J162" i="15"/>
  <c r="J161" i="15"/>
  <c r="J160" i="15"/>
  <c r="J159" i="15"/>
  <c r="J158" i="15"/>
  <c r="J157" i="15"/>
  <c r="J156" i="15"/>
  <c r="J155" i="15"/>
  <c r="J154" i="15"/>
  <c r="J153" i="15"/>
  <c r="J152" i="15"/>
  <c r="J151" i="15"/>
  <c r="J150" i="15"/>
  <c r="J149" i="15"/>
  <c r="J148" i="15"/>
  <c r="J147" i="15"/>
  <c r="J146" i="15"/>
  <c r="J145" i="15"/>
  <c r="J144" i="15"/>
  <c r="J143" i="15"/>
  <c r="J142" i="15"/>
  <c r="J141" i="15"/>
  <c r="J140" i="15"/>
  <c r="J139" i="15"/>
  <c r="J138" i="15"/>
  <c r="J137" i="15"/>
  <c r="J136" i="15"/>
  <c r="J135" i="15"/>
  <c r="J134" i="15"/>
  <c r="J133" i="15"/>
  <c r="J132" i="15"/>
  <c r="J131" i="15"/>
  <c r="J130" i="15"/>
  <c r="J129" i="15"/>
  <c r="J128" i="15"/>
  <c r="J127" i="15"/>
  <c r="J126" i="15"/>
  <c r="J125" i="15"/>
  <c r="J124" i="15"/>
  <c r="J123" i="15"/>
  <c r="J122" i="15"/>
  <c r="J121" i="15"/>
  <c r="J120" i="15"/>
  <c r="J119" i="15"/>
  <c r="J118" i="15"/>
  <c r="J117" i="15"/>
  <c r="J116"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I13" i="15"/>
  <c r="B13" i="15"/>
  <c r="J18" i="9"/>
  <c r="J19" i="9"/>
  <c r="L18" i="1" s="1"/>
  <c r="D18" i="1" l="1"/>
  <c r="F18" i="1" s="1"/>
  <c r="C11" i="1"/>
  <c r="R18" i="1"/>
  <c r="B19" i="1"/>
  <c r="B20" i="1" s="1"/>
  <c r="E20" i="1" s="1"/>
  <c r="M17" i="1"/>
  <c r="E18" i="1"/>
  <c r="J13" i="15"/>
  <c r="K25" i="27"/>
  <c r="J17" i="27"/>
  <c r="M17" i="23"/>
  <c r="K44" i="9"/>
  <c r="K45" i="9"/>
  <c r="K46" i="9"/>
  <c r="K43" i="9"/>
  <c r="K42" i="9"/>
  <c r="N17" i="1" l="1"/>
  <c r="C20" i="1"/>
  <c r="C19" i="1"/>
  <c r="I18" i="1"/>
  <c r="G18" i="1"/>
  <c r="E19" i="1"/>
  <c r="G19" i="1" s="1"/>
  <c r="G20" i="1" s="1"/>
  <c r="K19" i="1"/>
  <c r="L20" i="1"/>
  <c r="B21" i="1"/>
  <c r="K20" i="1"/>
  <c r="D20" i="1"/>
  <c r="H20" i="1" s="1"/>
  <c r="L19" i="1"/>
  <c r="D19" i="1"/>
  <c r="I19" i="1" s="1"/>
  <c r="J20" i="1"/>
  <c r="J19" i="1"/>
  <c r="H18" i="1"/>
  <c r="L17" i="28"/>
  <c r="J18" i="28"/>
  <c r="J17" i="28"/>
  <c r="M18" i="23"/>
  <c r="L17" i="23"/>
  <c r="K17" i="23"/>
  <c r="D21" i="1" l="1"/>
  <c r="C21" i="1"/>
  <c r="I20" i="1"/>
  <c r="L21" i="1"/>
  <c r="K21" i="1"/>
  <c r="J21" i="1"/>
  <c r="M19" i="1"/>
  <c r="M20" i="1"/>
  <c r="N20" i="1" s="1"/>
  <c r="B22" i="1"/>
  <c r="H19" i="1"/>
  <c r="E21" i="1"/>
  <c r="G21" i="1" s="1"/>
  <c r="R19" i="1"/>
  <c r="F19" i="1"/>
  <c r="F20" i="1" s="1"/>
  <c r="F21" i="1" s="1"/>
  <c r="J20" i="27"/>
  <c r="J18" i="27"/>
  <c r="J18" i="1"/>
  <c r="M18" i="1" s="1"/>
  <c r="K17" i="14"/>
  <c r="I21" i="1" l="1"/>
  <c r="D22" i="1"/>
  <c r="C22" i="1"/>
  <c r="N18" i="1"/>
  <c r="N19" i="1"/>
  <c r="M21" i="1"/>
  <c r="J22" i="1"/>
  <c r="F22" i="1"/>
  <c r="B23" i="1"/>
  <c r="E22" i="1"/>
  <c r="G22" i="1"/>
  <c r="R20" i="1"/>
  <c r="H21" i="1"/>
  <c r="L22" i="1"/>
  <c r="K22" i="1"/>
  <c r="M18" i="13"/>
  <c r="M17" i="13"/>
  <c r="B24" i="1"/>
  <c r="C24" i="1" s="1"/>
  <c r="K23" i="1"/>
  <c r="H22" i="1"/>
  <c r="I22" i="1"/>
  <c r="M17" i="28"/>
  <c r="M18" i="28"/>
  <c r="K18" i="28"/>
  <c r="K17" i="28"/>
  <c r="L17" i="14"/>
  <c r="L26" i="14"/>
  <c r="L22" i="14"/>
  <c r="L19" i="14"/>
  <c r="L27" i="14"/>
  <c r="L29" i="14"/>
  <c r="L20" i="14"/>
  <c r="L28" i="14"/>
  <c r="L21" i="14"/>
  <c r="L18" i="14"/>
  <c r="L23" i="14"/>
  <c r="L24" i="14"/>
  <c r="L25" i="14"/>
  <c r="K29" i="14"/>
  <c r="K22" i="14"/>
  <c r="K23" i="14"/>
  <c r="K24" i="14"/>
  <c r="K25" i="14"/>
  <c r="K28" i="14"/>
  <c r="K26" i="14"/>
  <c r="K19" i="14"/>
  <c r="K27" i="14"/>
  <c r="K18" i="14"/>
  <c r="K20" i="14"/>
  <c r="K21" i="14"/>
  <c r="J19" i="14"/>
  <c r="J27" i="14"/>
  <c r="J20" i="14"/>
  <c r="J28" i="14"/>
  <c r="J21" i="14"/>
  <c r="J22" i="14"/>
  <c r="J23" i="14"/>
  <c r="J24" i="14"/>
  <c r="J25" i="14"/>
  <c r="J26" i="14"/>
  <c r="J18" i="14"/>
  <c r="J17" i="14"/>
  <c r="J29" i="14"/>
  <c r="N17" i="13"/>
  <c r="N18" i="13"/>
  <c r="L18" i="13"/>
  <c r="L17" i="13"/>
  <c r="K18" i="13"/>
  <c r="K17" i="13"/>
  <c r="J17" i="13"/>
  <c r="J18" i="13"/>
  <c r="J18" i="23"/>
  <c r="J17" i="23"/>
  <c r="K18" i="23"/>
  <c r="E18" i="14"/>
  <c r="D18" i="14"/>
  <c r="D23" i="1" l="1"/>
  <c r="F23" i="1" s="1"/>
  <c r="C23" i="1"/>
  <c r="J23" i="1"/>
  <c r="E23" i="1"/>
  <c r="N21" i="1"/>
  <c r="L23" i="1"/>
  <c r="M22" i="1"/>
  <c r="R21" i="1"/>
  <c r="I23" i="1"/>
  <c r="M28" i="14"/>
  <c r="M17" i="14"/>
  <c r="M18" i="14"/>
  <c r="M22" i="14"/>
  <c r="M29" i="14"/>
  <c r="M27" i="14"/>
  <c r="M20" i="14"/>
  <c r="M23" i="14"/>
  <c r="M19" i="14"/>
  <c r="M24" i="14"/>
  <c r="M26" i="14"/>
  <c r="M25" i="14"/>
  <c r="M21" i="14"/>
  <c r="O17" i="13"/>
  <c r="O18" i="13"/>
  <c r="N17" i="28"/>
  <c r="O17" i="28"/>
  <c r="N17" i="23"/>
  <c r="O17" i="23"/>
  <c r="B25" i="1"/>
  <c r="C25" i="1" s="1"/>
  <c r="K24" i="1"/>
  <c r="D24" i="1"/>
  <c r="L24" i="1"/>
  <c r="J24" i="1"/>
  <c r="E24" i="1"/>
  <c r="C18" i="28"/>
  <c r="S18" i="28" s="1"/>
  <c r="A18" i="28"/>
  <c r="C17" i="28"/>
  <c r="S17" i="28" s="1"/>
  <c r="C13" i="28"/>
  <c r="C8" i="28"/>
  <c r="C6" i="28"/>
  <c r="W2" i="28"/>
  <c r="V2" i="28"/>
  <c r="W1" i="28"/>
  <c r="V1" i="28"/>
  <c r="P17" i="13" l="1"/>
  <c r="N17" i="14"/>
  <c r="C10" i="14"/>
  <c r="N22" i="1"/>
  <c r="H23" i="1"/>
  <c r="N23" i="1" s="1"/>
  <c r="M23" i="1"/>
  <c r="G23" i="1"/>
  <c r="G24" i="1"/>
  <c r="R22" i="1"/>
  <c r="B19" i="28"/>
  <c r="E19" i="28" s="1"/>
  <c r="M24" i="1"/>
  <c r="H24" i="1"/>
  <c r="I24" i="1"/>
  <c r="J25" i="1"/>
  <c r="K25" i="1"/>
  <c r="B26" i="1"/>
  <c r="C26" i="1" s="1"/>
  <c r="L25" i="1"/>
  <c r="D25" i="1"/>
  <c r="E25" i="1"/>
  <c r="G25" i="1" s="1"/>
  <c r="F24" i="1"/>
  <c r="E18" i="28"/>
  <c r="G18" i="28" s="1"/>
  <c r="D18" i="28"/>
  <c r="F18" i="28" s="1"/>
  <c r="J46" i="9"/>
  <c r="L46" i="9" s="1"/>
  <c r="J25" i="27"/>
  <c r="L25" i="27" s="1"/>
  <c r="T17" i="28"/>
  <c r="C11" i="28"/>
  <c r="R23" i="1" l="1"/>
  <c r="G19" i="28"/>
  <c r="K27" i="27"/>
  <c r="K29" i="27"/>
  <c r="K28" i="27"/>
  <c r="K26" i="27"/>
  <c r="I18" i="28"/>
  <c r="B20" i="28"/>
  <c r="J19" i="28"/>
  <c r="M19" i="28"/>
  <c r="K19" i="28"/>
  <c r="J26" i="27"/>
  <c r="L26" i="27" s="1"/>
  <c r="D19" i="28"/>
  <c r="F19" i="28" s="1"/>
  <c r="H18" i="28"/>
  <c r="F25" i="1"/>
  <c r="N24" i="1"/>
  <c r="M25" i="1"/>
  <c r="J43" i="9"/>
  <c r="L43" i="9" s="1"/>
  <c r="L42" i="9"/>
  <c r="I25" i="1"/>
  <c r="E26" i="1"/>
  <c r="J26" i="1"/>
  <c r="B27" i="1"/>
  <c r="C27" i="1" s="1"/>
  <c r="L26" i="1"/>
  <c r="D26" i="1"/>
  <c r="K26" i="1"/>
  <c r="H25" i="1"/>
  <c r="J44" i="9"/>
  <c r="J45" i="9"/>
  <c r="L45" i="9" s="1"/>
  <c r="S19" i="28"/>
  <c r="A19" i="28"/>
  <c r="G26" i="1" l="1"/>
  <c r="R24" i="1"/>
  <c r="J27" i="27"/>
  <c r="L27" i="27" s="1"/>
  <c r="H19" i="28"/>
  <c r="B21" i="28"/>
  <c r="J20" i="28"/>
  <c r="M20" i="28"/>
  <c r="K20" i="28"/>
  <c r="D20" i="28"/>
  <c r="F20" i="28" s="1"/>
  <c r="E20" i="28"/>
  <c r="G20" i="28" s="1"/>
  <c r="H26" i="1"/>
  <c r="N25" i="1"/>
  <c r="M26" i="1"/>
  <c r="I26" i="1"/>
  <c r="I19" i="28"/>
  <c r="F26" i="1"/>
  <c r="D27" i="1"/>
  <c r="L27" i="1"/>
  <c r="E27" i="1"/>
  <c r="G27" i="1" s="1"/>
  <c r="J27" i="1"/>
  <c r="K27" i="1"/>
  <c r="B28" i="1"/>
  <c r="C28" i="1" s="1"/>
  <c r="L44" i="9"/>
  <c r="S20" i="28"/>
  <c r="A20" i="28"/>
  <c r="N26" i="1" l="1"/>
  <c r="R25" i="1"/>
  <c r="B22" i="28"/>
  <c r="J21" i="28"/>
  <c r="K21" i="28"/>
  <c r="M21" i="28"/>
  <c r="D21" i="28"/>
  <c r="F21" i="28" s="1"/>
  <c r="E21" i="28"/>
  <c r="G21" i="28" s="1"/>
  <c r="H20" i="28"/>
  <c r="J28" i="27"/>
  <c r="L28" i="27" s="1"/>
  <c r="M27" i="1"/>
  <c r="H27" i="1"/>
  <c r="K28" i="1"/>
  <c r="D28" i="1"/>
  <c r="L28" i="1"/>
  <c r="B29" i="1"/>
  <c r="C29" i="1" s="1"/>
  <c r="E28" i="1"/>
  <c r="G28" i="1" s="1"/>
  <c r="J28" i="1"/>
  <c r="I27" i="1"/>
  <c r="F27" i="1"/>
  <c r="I20" i="28"/>
  <c r="A21" i="28"/>
  <c r="S21" i="28"/>
  <c r="R26" i="1" l="1"/>
  <c r="J29" i="27"/>
  <c r="I19" i="27" s="1"/>
  <c r="L29" i="27"/>
  <c r="M26" i="27" s="1"/>
  <c r="H21" i="28"/>
  <c r="J22" i="28"/>
  <c r="B23" i="28"/>
  <c r="K22" i="28"/>
  <c r="M22" i="28"/>
  <c r="E22" i="28"/>
  <c r="G22" i="28" s="1"/>
  <c r="D22" i="28"/>
  <c r="F22" i="28" s="1"/>
  <c r="M28" i="1"/>
  <c r="N27" i="1"/>
  <c r="F28" i="1"/>
  <c r="I28" i="1"/>
  <c r="B30" i="1"/>
  <c r="C30" i="1" s="1"/>
  <c r="J29" i="1"/>
  <c r="K29" i="1"/>
  <c r="L29" i="1"/>
  <c r="E29" i="1"/>
  <c r="G29" i="1" s="1"/>
  <c r="D29" i="1"/>
  <c r="H28" i="1"/>
  <c r="A22" i="28"/>
  <c r="S22" i="28"/>
  <c r="I21" i="28"/>
  <c r="H29" i="1" l="1"/>
  <c r="R27" i="1"/>
  <c r="M28" i="27"/>
  <c r="M29" i="27"/>
  <c r="H22" i="28"/>
  <c r="I21" i="27"/>
  <c r="J21" i="27" s="1"/>
  <c r="J19" i="27"/>
  <c r="L23" i="28"/>
  <c r="B24" i="28"/>
  <c r="K23" i="28"/>
  <c r="M23" i="28"/>
  <c r="J23" i="28"/>
  <c r="E23" i="28"/>
  <c r="G23" i="28" s="1"/>
  <c r="D23" i="28"/>
  <c r="F23" i="28" s="1"/>
  <c r="M25" i="27"/>
  <c r="M27" i="27"/>
  <c r="M29" i="1"/>
  <c r="N29" i="1" s="1"/>
  <c r="N28" i="1"/>
  <c r="I29" i="1"/>
  <c r="J30" i="1"/>
  <c r="E30" i="1"/>
  <c r="G30" i="1" s="1"/>
  <c r="K30" i="1"/>
  <c r="L30" i="1"/>
  <c r="B31" i="1"/>
  <c r="C31" i="1" s="1"/>
  <c r="D30" i="1"/>
  <c r="F29" i="1"/>
  <c r="I22" i="28"/>
  <c r="S23" i="28"/>
  <c r="A23" i="28"/>
  <c r="R28" i="1" l="1"/>
  <c r="L18" i="28"/>
  <c r="N18" i="28" s="1"/>
  <c r="O18" i="28" s="1"/>
  <c r="T18" i="28" s="1"/>
  <c r="L19" i="28"/>
  <c r="N19" i="28" s="1"/>
  <c r="O19" i="28" s="1"/>
  <c r="T19" i="28" s="1"/>
  <c r="L20" i="28"/>
  <c r="N20" i="28" s="1"/>
  <c r="O20" i="28" s="1"/>
  <c r="T20" i="28" s="1"/>
  <c r="L21" i="28"/>
  <c r="N21" i="28" s="1"/>
  <c r="O21" i="28" s="1"/>
  <c r="T21" i="28" s="1"/>
  <c r="L22" i="28"/>
  <c r="N22" i="28" s="1"/>
  <c r="O22" i="28" s="1"/>
  <c r="H23" i="28"/>
  <c r="K24" i="28"/>
  <c r="M24" i="28"/>
  <c r="L24" i="28"/>
  <c r="B25" i="28"/>
  <c r="J24" i="28"/>
  <c r="E24" i="28"/>
  <c r="G24" i="28" s="1"/>
  <c r="D24" i="28"/>
  <c r="F24" i="28" s="1"/>
  <c r="N23" i="28"/>
  <c r="O23" i="28" s="1"/>
  <c r="M30" i="1"/>
  <c r="F30" i="1"/>
  <c r="H30" i="1"/>
  <c r="D31" i="1"/>
  <c r="L31" i="1"/>
  <c r="E31" i="1"/>
  <c r="G31" i="1" s="1"/>
  <c r="B32" i="1"/>
  <c r="C32" i="1" s="1"/>
  <c r="J31" i="1"/>
  <c r="K31" i="1"/>
  <c r="I30" i="1"/>
  <c r="S24" i="28"/>
  <c r="A24" i="28"/>
  <c r="I23" i="28"/>
  <c r="R29" i="1" l="1"/>
  <c r="J25" i="28"/>
  <c r="L25" i="28"/>
  <c r="E25" i="28"/>
  <c r="G25" i="28" s="1"/>
  <c r="B26" i="28"/>
  <c r="D25" i="28"/>
  <c r="F25" i="28" s="1"/>
  <c r="K25" i="28"/>
  <c r="M25" i="28"/>
  <c r="H24" i="28"/>
  <c r="N24" i="28"/>
  <c r="N30" i="1"/>
  <c r="M31" i="1"/>
  <c r="I31" i="1"/>
  <c r="K32" i="1"/>
  <c r="D32" i="1"/>
  <c r="L32" i="1"/>
  <c r="B33" i="1"/>
  <c r="C33" i="1" s="1"/>
  <c r="E32" i="1"/>
  <c r="G32" i="1" s="1"/>
  <c r="J32" i="1"/>
  <c r="H31" i="1"/>
  <c r="F31" i="1"/>
  <c r="T23" i="28"/>
  <c r="I24" i="28"/>
  <c r="S25" i="28"/>
  <c r="A25" i="28"/>
  <c r="N31" i="1" l="1"/>
  <c r="R30" i="1"/>
  <c r="O24" i="28"/>
  <c r="T24" i="28" s="1"/>
  <c r="N25" i="28"/>
  <c r="H25" i="28"/>
  <c r="E26" i="28"/>
  <c r="M26" i="28"/>
  <c r="B27" i="28"/>
  <c r="J26" i="28"/>
  <c r="L26" i="28"/>
  <c r="K26" i="28"/>
  <c r="D26" i="28"/>
  <c r="F26" i="28" s="1"/>
  <c r="F32" i="1"/>
  <c r="M32" i="1"/>
  <c r="K33" i="1"/>
  <c r="B34" i="1"/>
  <c r="C34" i="1" s="1"/>
  <c r="D33" i="1"/>
  <c r="E33" i="1"/>
  <c r="G33" i="1" s="1"/>
  <c r="J33" i="1"/>
  <c r="L33" i="1"/>
  <c r="H32" i="1"/>
  <c r="I32" i="1"/>
  <c r="I25" i="28"/>
  <c r="S26" i="28"/>
  <c r="A26" i="28"/>
  <c r="O25" i="28" l="1"/>
  <c r="R31" i="1"/>
  <c r="H26" i="28"/>
  <c r="L27" i="28"/>
  <c r="D27" i="28"/>
  <c r="F27" i="28" s="1"/>
  <c r="E27" i="28"/>
  <c r="J27" i="28"/>
  <c r="K27" i="28"/>
  <c r="M27" i="28"/>
  <c r="B28" i="28"/>
  <c r="G26" i="28"/>
  <c r="N26" i="28"/>
  <c r="O26" i="28" s="1"/>
  <c r="I33" i="1"/>
  <c r="M33" i="1"/>
  <c r="N32" i="1"/>
  <c r="H33" i="1"/>
  <c r="J34" i="1"/>
  <c r="B35" i="1"/>
  <c r="C35" i="1" s="1"/>
  <c r="D34" i="1"/>
  <c r="E34" i="1"/>
  <c r="G34" i="1" s="1"/>
  <c r="K34" i="1"/>
  <c r="L34" i="1"/>
  <c r="F33" i="1"/>
  <c r="T25" i="28"/>
  <c r="I26" i="28"/>
  <c r="S27" i="28"/>
  <c r="A27" i="28"/>
  <c r="N33" i="1" l="1"/>
  <c r="R32" i="1"/>
  <c r="I34" i="1"/>
  <c r="H27" i="28"/>
  <c r="N27" i="28"/>
  <c r="G27" i="28"/>
  <c r="B29" i="28"/>
  <c r="L28" i="28"/>
  <c r="D28" i="28"/>
  <c r="F28" i="28" s="1"/>
  <c r="J28" i="28"/>
  <c r="M28" i="28"/>
  <c r="K28" i="28"/>
  <c r="E28" i="28"/>
  <c r="M34" i="1"/>
  <c r="F34" i="1"/>
  <c r="D35" i="1"/>
  <c r="L35" i="1"/>
  <c r="E35" i="1"/>
  <c r="G35" i="1" s="1"/>
  <c r="B36" i="1"/>
  <c r="C36" i="1" s="1"/>
  <c r="K35" i="1"/>
  <c r="J35" i="1"/>
  <c r="H34" i="1"/>
  <c r="T26" i="28"/>
  <c r="I27" i="28"/>
  <c r="S28" i="28"/>
  <c r="A28" i="28"/>
  <c r="N34" i="1" l="1"/>
  <c r="R33" i="1"/>
  <c r="O27" i="28"/>
  <c r="T27" i="28" s="1"/>
  <c r="H28" i="28"/>
  <c r="G28" i="28"/>
  <c r="K29" i="28"/>
  <c r="D29" i="28"/>
  <c r="F29" i="28" s="1"/>
  <c r="B30" i="28"/>
  <c r="M29" i="28"/>
  <c r="E29" i="28"/>
  <c r="J29" i="28"/>
  <c r="L29" i="28"/>
  <c r="N28" i="28"/>
  <c r="O28" i="28" s="1"/>
  <c r="M35" i="1"/>
  <c r="F35" i="1"/>
  <c r="D36" i="1"/>
  <c r="L36" i="1"/>
  <c r="B37" i="1"/>
  <c r="C37" i="1" s="1"/>
  <c r="J36" i="1"/>
  <c r="E36" i="1"/>
  <c r="G36" i="1" s="1"/>
  <c r="K36" i="1"/>
  <c r="H35" i="1"/>
  <c r="I35" i="1"/>
  <c r="I28" i="28"/>
  <c r="S29" i="28"/>
  <c r="A29" i="28"/>
  <c r="N35" i="1" l="1"/>
  <c r="R34" i="1"/>
  <c r="G29" i="28"/>
  <c r="H29" i="28"/>
  <c r="B31" i="28"/>
  <c r="J30" i="28"/>
  <c r="K30" i="28"/>
  <c r="L30" i="28"/>
  <c r="D30" i="28"/>
  <c r="F30" i="28" s="1"/>
  <c r="M30" i="28"/>
  <c r="E30" i="28"/>
  <c r="N29" i="28"/>
  <c r="O29" i="28" s="1"/>
  <c r="M36" i="1"/>
  <c r="H36" i="1"/>
  <c r="F36" i="1"/>
  <c r="I36" i="1"/>
  <c r="B38" i="1"/>
  <c r="C38" i="1" s="1"/>
  <c r="J37" i="1"/>
  <c r="K37" i="1"/>
  <c r="D37" i="1"/>
  <c r="E37" i="1"/>
  <c r="G37" i="1" s="1"/>
  <c r="L37" i="1"/>
  <c r="T28" i="28"/>
  <c r="S30" i="28"/>
  <c r="A30" i="28"/>
  <c r="I29" i="28"/>
  <c r="R35" i="1" l="1"/>
  <c r="I37" i="1"/>
  <c r="H30" i="28"/>
  <c r="G30" i="28"/>
  <c r="N30" i="28"/>
  <c r="J31" i="28"/>
  <c r="K31" i="28"/>
  <c r="L31" i="28"/>
  <c r="D31" i="28"/>
  <c r="F31" i="28" s="1"/>
  <c r="M31" i="28"/>
  <c r="E31" i="28"/>
  <c r="B32" i="28"/>
  <c r="N36" i="1"/>
  <c r="F37" i="1"/>
  <c r="M37" i="1"/>
  <c r="J38" i="1"/>
  <c r="E38" i="1"/>
  <c r="G38" i="1" s="1"/>
  <c r="L38" i="1"/>
  <c r="B39" i="1"/>
  <c r="C39" i="1" s="1"/>
  <c r="K38" i="1"/>
  <c r="D38" i="1"/>
  <c r="H37" i="1"/>
  <c r="O30" i="28"/>
  <c r="T29" i="28"/>
  <c r="S31" i="28"/>
  <c r="A31" i="28"/>
  <c r="I30" i="28"/>
  <c r="R36" i="1" l="1"/>
  <c r="J32" i="28"/>
  <c r="M32" i="28"/>
  <c r="D32" i="28"/>
  <c r="F32" i="28" s="1"/>
  <c r="B33" i="28"/>
  <c r="K32" i="28"/>
  <c r="L32" i="28"/>
  <c r="E32" i="28"/>
  <c r="H31" i="28"/>
  <c r="G31" i="28"/>
  <c r="N31" i="28"/>
  <c r="M38" i="1"/>
  <c r="N37" i="1"/>
  <c r="H38" i="1"/>
  <c r="F38" i="1"/>
  <c r="I38" i="1"/>
  <c r="E39" i="1"/>
  <c r="G39" i="1" s="1"/>
  <c r="L39" i="1"/>
  <c r="B40" i="1"/>
  <c r="C40" i="1" s="1"/>
  <c r="J39" i="1"/>
  <c r="D39" i="1"/>
  <c r="K39" i="1"/>
  <c r="T30" i="28"/>
  <c r="I31" i="28"/>
  <c r="S32" i="28"/>
  <c r="A32" i="28"/>
  <c r="N38" i="1" l="1"/>
  <c r="O31" i="28"/>
  <c r="T31" i="28" s="1"/>
  <c r="R37" i="1"/>
  <c r="G32" i="28"/>
  <c r="L33" i="28"/>
  <c r="K33" i="28"/>
  <c r="D33" i="28"/>
  <c r="F33" i="28" s="1"/>
  <c r="B34" i="28"/>
  <c r="J33" i="28"/>
  <c r="M33" i="28"/>
  <c r="E33" i="28"/>
  <c r="G33" i="28" s="1"/>
  <c r="H32" i="28"/>
  <c r="N32" i="28"/>
  <c r="O32" i="28" s="1"/>
  <c r="H39" i="1"/>
  <c r="M39" i="1"/>
  <c r="I39" i="1"/>
  <c r="K40" i="1"/>
  <c r="D40" i="1"/>
  <c r="L40" i="1"/>
  <c r="B41" i="1"/>
  <c r="C41" i="1" s="1"/>
  <c r="J40" i="1"/>
  <c r="E40" i="1"/>
  <c r="G40" i="1" s="1"/>
  <c r="F39" i="1"/>
  <c r="I32" i="28"/>
  <c r="A33" i="28"/>
  <c r="S33" i="28"/>
  <c r="N39" i="1" l="1"/>
  <c r="R38" i="1"/>
  <c r="J34" i="28"/>
  <c r="M34" i="28"/>
  <c r="B35" i="28"/>
  <c r="K34" i="28"/>
  <c r="L34" i="28"/>
  <c r="D34" i="28"/>
  <c r="F34" i="28" s="1"/>
  <c r="E34" i="28"/>
  <c r="G34" i="28" s="1"/>
  <c r="H33" i="28"/>
  <c r="N33" i="28"/>
  <c r="M40" i="1"/>
  <c r="F40" i="1"/>
  <c r="H40" i="1"/>
  <c r="K41" i="1"/>
  <c r="L41" i="1"/>
  <c r="B42" i="1"/>
  <c r="C42" i="1" s="1"/>
  <c r="E41" i="1"/>
  <c r="G41" i="1" s="1"/>
  <c r="D41" i="1"/>
  <c r="J41" i="1"/>
  <c r="I40" i="1"/>
  <c r="T32" i="28"/>
  <c r="I33" i="28"/>
  <c r="A34" i="28"/>
  <c r="S34" i="28"/>
  <c r="N40" i="1" l="1"/>
  <c r="R39" i="1"/>
  <c r="O33" i="28"/>
  <c r="N34" i="28"/>
  <c r="M35" i="28"/>
  <c r="E35" i="28"/>
  <c r="G35" i="28" s="1"/>
  <c r="J35" i="28"/>
  <c r="L35" i="28"/>
  <c r="D35" i="28"/>
  <c r="F35" i="28" s="1"/>
  <c r="K35" i="28"/>
  <c r="B36" i="28"/>
  <c r="H34" i="28"/>
  <c r="M41" i="1"/>
  <c r="H41" i="1"/>
  <c r="I41" i="1"/>
  <c r="J42" i="1"/>
  <c r="K42" i="1"/>
  <c r="D42" i="1"/>
  <c r="E42" i="1"/>
  <c r="G42" i="1" s="1"/>
  <c r="L42" i="1"/>
  <c r="B43" i="1"/>
  <c r="C43" i="1" s="1"/>
  <c r="F41" i="1"/>
  <c r="T33" i="28"/>
  <c r="S35" i="28"/>
  <c r="A35" i="28"/>
  <c r="I34" i="28"/>
  <c r="O34" i="28" l="1"/>
  <c r="R40" i="1"/>
  <c r="N35" i="28"/>
  <c r="H35" i="28"/>
  <c r="K36" i="28"/>
  <c r="M36" i="28"/>
  <c r="L36" i="28"/>
  <c r="E36" i="28"/>
  <c r="G36" i="28" s="1"/>
  <c r="J36" i="28"/>
  <c r="D36" i="28"/>
  <c r="F36" i="28" s="1"/>
  <c r="B37" i="28"/>
  <c r="N41" i="1"/>
  <c r="F42" i="1"/>
  <c r="M42" i="1"/>
  <c r="I42" i="1"/>
  <c r="H42" i="1"/>
  <c r="D43" i="1"/>
  <c r="L43" i="1"/>
  <c r="E43" i="1"/>
  <c r="G43" i="1" s="1"/>
  <c r="B44" i="1"/>
  <c r="C44" i="1" s="1"/>
  <c r="J43" i="1"/>
  <c r="K43" i="1"/>
  <c r="T34" i="28"/>
  <c r="I35" i="28"/>
  <c r="S36" i="28"/>
  <c r="A36" i="28"/>
  <c r="N42" i="1" l="1"/>
  <c r="R41" i="1"/>
  <c r="F43" i="1"/>
  <c r="O35" i="28"/>
  <c r="H36" i="28"/>
  <c r="K37" i="28"/>
  <c r="M37" i="28"/>
  <c r="L37" i="28"/>
  <c r="D37" i="28"/>
  <c r="F37" i="28" s="1"/>
  <c r="E37" i="28"/>
  <c r="G37" i="28" s="1"/>
  <c r="B38" i="28"/>
  <c r="J37" i="28"/>
  <c r="N36" i="28"/>
  <c r="M43" i="1"/>
  <c r="I43" i="1"/>
  <c r="H43" i="1"/>
  <c r="B45" i="1"/>
  <c r="C45" i="1" s="1"/>
  <c r="J44" i="1"/>
  <c r="K44" i="1"/>
  <c r="E44" i="1"/>
  <c r="G44" i="1" s="1"/>
  <c r="L44" i="1"/>
  <c r="D44" i="1"/>
  <c r="T35" i="28"/>
  <c r="S37" i="28"/>
  <c r="A37" i="28"/>
  <c r="I36" i="28"/>
  <c r="R42" i="1" l="1"/>
  <c r="O36" i="28"/>
  <c r="K38" i="28"/>
  <c r="L38" i="28"/>
  <c r="J38" i="28"/>
  <c r="M38" i="28"/>
  <c r="D38" i="28"/>
  <c r="F38" i="28" s="1"/>
  <c r="E38" i="28"/>
  <c r="G38" i="28" s="1"/>
  <c r="B39" i="28"/>
  <c r="H37" i="28"/>
  <c r="N37" i="28"/>
  <c r="I44" i="1"/>
  <c r="N43" i="1"/>
  <c r="F44" i="1"/>
  <c r="M44" i="1"/>
  <c r="H44" i="1"/>
  <c r="J45" i="1"/>
  <c r="B46" i="1"/>
  <c r="C46" i="1" s="1"/>
  <c r="K45" i="1"/>
  <c r="L45" i="1"/>
  <c r="D45" i="1"/>
  <c r="E45" i="1"/>
  <c r="G45" i="1" s="1"/>
  <c r="T36" i="28"/>
  <c r="I37" i="28"/>
  <c r="S38" i="28"/>
  <c r="A38" i="28"/>
  <c r="R43" i="1" l="1"/>
  <c r="N44" i="1"/>
  <c r="N38" i="28"/>
  <c r="O37" i="28"/>
  <c r="T37" i="28" s="1"/>
  <c r="H38" i="28"/>
  <c r="J39" i="28"/>
  <c r="M39" i="28"/>
  <c r="K39" i="28"/>
  <c r="L39" i="28"/>
  <c r="D39" i="28"/>
  <c r="F39" i="28" s="1"/>
  <c r="E39" i="28"/>
  <c r="G39" i="28" s="1"/>
  <c r="B40" i="28"/>
  <c r="F45" i="1"/>
  <c r="M45" i="1"/>
  <c r="I45" i="1"/>
  <c r="E46" i="1"/>
  <c r="G46" i="1" s="1"/>
  <c r="K46" i="1"/>
  <c r="L46" i="1"/>
  <c r="J46" i="1"/>
  <c r="B47" i="1"/>
  <c r="C47" i="1" s="1"/>
  <c r="D46" i="1"/>
  <c r="H45" i="1"/>
  <c r="A39" i="28"/>
  <c r="S39" i="28"/>
  <c r="I38" i="28"/>
  <c r="I46" i="1" l="1"/>
  <c r="R44" i="1"/>
  <c r="O38" i="28"/>
  <c r="H39" i="28"/>
  <c r="N39" i="28"/>
  <c r="L40" i="28"/>
  <c r="E40" i="28"/>
  <c r="G40" i="28" s="1"/>
  <c r="M40" i="28"/>
  <c r="K40" i="28"/>
  <c r="D40" i="28"/>
  <c r="F40" i="28" s="1"/>
  <c r="J40" i="28"/>
  <c r="B41" i="28"/>
  <c r="F46" i="1"/>
  <c r="N45" i="1"/>
  <c r="M46" i="1"/>
  <c r="H46" i="1"/>
  <c r="L47" i="1"/>
  <c r="D47" i="1"/>
  <c r="K47" i="1"/>
  <c r="B48" i="1"/>
  <c r="C48" i="1" s="1"/>
  <c r="E47" i="1"/>
  <c r="G47" i="1" s="1"/>
  <c r="J47" i="1"/>
  <c r="T38" i="28"/>
  <c r="I39" i="28"/>
  <c r="S40" i="28"/>
  <c r="A40" i="28"/>
  <c r="O39" i="28" l="1"/>
  <c r="R45" i="1"/>
  <c r="F47" i="1"/>
  <c r="L41" i="28"/>
  <c r="M41" i="28"/>
  <c r="K41" i="28"/>
  <c r="D41" i="28"/>
  <c r="F41" i="28" s="1"/>
  <c r="E41" i="28"/>
  <c r="G41" i="28" s="1"/>
  <c r="B42" i="28"/>
  <c r="J41" i="28"/>
  <c r="N40" i="28"/>
  <c r="H40" i="28"/>
  <c r="I47" i="1"/>
  <c r="N46" i="1"/>
  <c r="M47" i="1"/>
  <c r="H47" i="1"/>
  <c r="K48" i="1"/>
  <c r="D48" i="1"/>
  <c r="E48" i="1"/>
  <c r="G48" i="1" s="1"/>
  <c r="B49" i="1"/>
  <c r="C49" i="1" s="1"/>
  <c r="J48" i="1"/>
  <c r="L48" i="1"/>
  <c r="T39" i="28"/>
  <c r="I40" i="28"/>
  <c r="S41" i="28"/>
  <c r="A41" i="28"/>
  <c r="N47" i="1" l="1"/>
  <c r="F48" i="1"/>
  <c r="R46" i="1"/>
  <c r="O40" i="28"/>
  <c r="T40" i="28" s="1"/>
  <c r="H41" i="28"/>
  <c r="N41" i="28"/>
  <c r="J42" i="28"/>
  <c r="L42" i="28"/>
  <c r="K42" i="28"/>
  <c r="E42" i="28"/>
  <c r="G42" i="28" s="1"/>
  <c r="D42" i="28"/>
  <c r="F42" i="28" s="1"/>
  <c r="M42" i="28"/>
  <c r="B43" i="28"/>
  <c r="M48" i="1"/>
  <c r="I48" i="1"/>
  <c r="H48" i="1"/>
  <c r="J49" i="1"/>
  <c r="D49" i="1"/>
  <c r="E49" i="1"/>
  <c r="G49" i="1" s="1"/>
  <c r="B50" i="1"/>
  <c r="C50" i="1" s="1"/>
  <c r="K49" i="1"/>
  <c r="L49" i="1"/>
  <c r="I41" i="28"/>
  <c r="A42" i="28"/>
  <c r="S42" i="28"/>
  <c r="F49" i="1" l="1"/>
  <c r="R47" i="1"/>
  <c r="O41" i="28"/>
  <c r="H42" i="28"/>
  <c r="N42" i="28"/>
  <c r="O42" i="28" s="1"/>
  <c r="B44" i="28"/>
  <c r="D43" i="28"/>
  <c r="F43" i="28" s="1"/>
  <c r="J43" i="28"/>
  <c r="L43" i="28"/>
  <c r="E43" i="28"/>
  <c r="G43" i="28" s="1"/>
  <c r="K43" i="28"/>
  <c r="M43" i="28"/>
  <c r="N48" i="1"/>
  <c r="M49" i="1"/>
  <c r="I49" i="1"/>
  <c r="H49" i="1"/>
  <c r="E50" i="1"/>
  <c r="G50" i="1" s="1"/>
  <c r="B51" i="1"/>
  <c r="C51" i="1" s="1"/>
  <c r="J50" i="1"/>
  <c r="K50" i="1"/>
  <c r="L50" i="1"/>
  <c r="D50" i="1"/>
  <c r="T41" i="28"/>
  <c r="A43" i="28"/>
  <c r="S43" i="28"/>
  <c r="I42" i="28"/>
  <c r="N49" i="1" l="1"/>
  <c r="R48" i="1"/>
  <c r="N43" i="28"/>
  <c r="L44" i="28"/>
  <c r="M44" i="28"/>
  <c r="K44" i="28"/>
  <c r="B45" i="28"/>
  <c r="J44" i="28"/>
  <c r="E44" i="28"/>
  <c r="D44" i="28"/>
  <c r="F44" i="28" s="1"/>
  <c r="H43" i="28"/>
  <c r="H50" i="1"/>
  <c r="M50" i="1"/>
  <c r="I50" i="1"/>
  <c r="F50" i="1"/>
  <c r="D51" i="1"/>
  <c r="L51" i="1"/>
  <c r="J51" i="1"/>
  <c r="K51" i="1"/>
  <c r="B52" i="1"/>
  <c r="C52" i="1" s="1"/>
  <c r="E51" i="1"/>
  <c r="G51" i="1" s="1"/>
  <c r="I43" i="28"/>
  <c r="T42" i="28"/>
  <c r="S44" i="28"/>
  <c r="A44" i="28"/>
  <c r="I51" i="1" l="1"/>
  <c r="N50" i="1"/>
  <c r="O43" i="28"/>
  <c r="T43" i="28" s="1"/>
  <c r="R49" i="1"/>
  <c r="N44" i="28"/>
  <c r="H44" i="28"/>
  <c r="B46" i="28"/>
  <c r="E45" i="28"/>
  <c r="J45" i="28"/>
  <c r="L45" i="28"/>
  <c r="M45" i="28"/>
  <c r="K45" i="28"/>
  <c r="D45" i="28"/>
  <c r="F45" i="28" s="1"/>
  <c r="G44" i="28"/>
  <c r="M51" i="1"/>
  <c r="F51" i="1"/>
  <c r="B53" i="1"/>
  <c r="C53" i="1" s="1"/>
  <c r="K52" i="1"/>
  <c r="L52" i="1"/>
  <c r="E52" i="1"/>
  <c r="G52" i="1" s="1"/>
  <c r="D52" i="1"/>
  <c r="J52" i="1"/>
  <c r="H51" i="1"/>
  <c r="I44" i="28"/>
  <c r="S45" i="28"/>
  <c r="A45" i="28"/>
  <c r="I52" i="1" l="1"/>
  <c r="O44" i="28"/>
  <c r="R50" i="1"/>
  <c r="H45" i="28"/>
  <c r="N45" i="28"/>
  <c r="G45" i="28"/>
  <c r="K46" i="28"/>
  <c r="E46" i="28"/>
  <c r="D46" i="28"/>
  <c r="F46" i="28" s="1"/>
  <c r="M46" i="28"/>
  <c r="L46" i="28"/>
  <c r="B47" i="28"/>
  <c r="J46" i="28"/>
  <c r="N51" i="1"/>
  <c r="M52" i="1"/>
  <c r="F52" i="1"/>
  <c r="J53" i="1"/>
  <c r="L53" i="1"/>
  <c r="D53" i="1"/>
  <c r="K53" i="1"/>
  <c r="B54" i="1"/>
  <c r="C54" i="1" s="1"/>
  <c r="E53" i="1"/>
  <c r="G53" i="1" s="1"/>
  <c r="H52" i="1"/>
  <c r="I45" i="28"/>
  <c r="T44" i="28"/>
  <c r="S46" i="28"/>
  <c r="A46" i="28"/>
  <c r="N52" i="1" l="1"/>
  <c r="F53" i="1"/>
  <c r="R51" i="1"/>
  <c r="O45" i="28"/>
  <c r="T45" i="28" s="1"/>
  <c r="H46" i="28"/>
  <c r="G46" i="28"/>
  <c r="N46" i="28"/>
  <c r="O46" i="28" s="1"/>
  <c r="J47" i="28"/>
  <c r="L47" i="28"/>
  <c r="K47" i="28"/>
  <c r="M47" i="28"/>
  <c r="D47" i="28"/>
  <c r="F47" i="28" s="1"/>
  <c r="E47" i="28"/>
  <c r="B48" i="28"/>
  <c r="M53" i="1"/>
  <c r="I53" i="1"/>
  <c r="E54" i="1"/>
  <c r="G54" i="1" s="1"/>
  <c r="L54" i="1"/>
  <c r="D54" i="1"/>
  <c r="K54" i="1"/>
  <c r="B55" i="1"/>
  <c r="C55" i="1" s="1"/>
  <c r="J54" i="1"/>
  <c r="H53" i="1"/>
  <c r="I46" i="28"/>
  <c r="A47" i="28"/>
  <c r="S47" i="28"/>
  <c r="M54" i="1" l="1"/>
  <c r="F54" i="1"/>
  <c r="R52" i="1"/>
  <c r="H47" i="28"/>
  <c r="N47" i="28"/>
  <c r="O47" i="28" s="1"/>
  <c r="J48" i="28"/>
  <c r="D48" i="28"/>
  <c r="F48" i="28" s="1"/>
  <c r="E48" i="28"/>
  <c r="L48" i="28"/>
  <c r="K48" i="28"/>
  <c r="B49" i="28"/>
  <c r="M48" i="28"/>
  <c r="G47" i="28"/>
  <c r="I54" i="1"/>
  <c r="N53" i="1"/>
  <c r="H54" i="1"/>
  <c r="D55" i="1"/>
  <c r="F55" i="1" s="1"/>
  <c r="E55" i="1"/>
  <c r="G55" i="1" s="1"/>
  <c r="J55" i="1"/>
  <c r="B56" i="1"/>
  <c r="C56" i="1" s="1"/>
  <c r="K55" i="1"/>
  <c r="L55" i="1"/>
  <c r="I47" i="28"/>
  <c r="T46" i="28"/>
  <c r="S48" i="28"/>
  <c r="A48" i="28"/>
  <c r="N54" i="1" l="1"/>
  <c r="M55" i="1"/>
  <c r="I55" i="1"/>
  <c r="R53" i="1"/>
  <c r="N48" i="28"/>
  <c r="M49" i="28"/>
  <c r="L49" i="28"/>
  <c r="K49" i="28"/>
  <c r="D49" i="28"/>
  <c r="F49" i="28" s="1"/>
  <c r="E49" i="28"/>
  <c r="B50" i="28"/>
  <c r="J49" i="28"/>
  <c r="G48" i="28"/>
  <c r="H48" i="28"/>
  <c r="K56" i="1"/>
  <c r="J56" i="1"/>
  <c r="E56" i="1"/>
  <c r="G56" i="1" s="1"/>
  <c r="B57" i="1"/>
  <c r="C57" i="1" s="1"/>
  <c r="D56" i="1"/>
  <c r="L56" i="1"/>
  <c r="H55" i="1"/>
  <c r="N55" i="1" s="1"/>
  <c r="T47" i="28"/>
  <c r="I48" i="28"/>
  <c r="S49" i="28"/>
  <c r="A49" i="28"/>
  <c r="I56" i="1" l="1"/>
  <c r="F56" i="1"/>
  <c r="M56" i="1"/>
  <c r="R54" i="1"/>
  <c r="O48" i="28"/>
  <c r="H49" i="28"/>
  <c r="N49" i="28"/>
  <c r="G49" i="28"/>
  <c r="L50" i="28"/>
  <c r="M50" i="28"/>
  <c r="B51" i="28"/>
  <c r="K50" i="28"/>
  <c r="D50" i="28"/>
  <c r="F50" i="28" s="1"/>
  <c r="E50" i="28"/>
  <c r="J50" i="28"/>
  <c r="E57" i="1"/>
  <c r="G57" i="1" s="1"/>
  <c r="B58" i="1"/>
  <c r="C58" i="1" s="1"/>
  <c r="J57" i="1"/>
  <c r="K57" i="1"/>
  <c r="L57" i="1"/>
  <c r="D57" i="1"/>
  <c r="F57" i="1" s="1"/>
  <c r="H56" i="1"/>
  <c r="N56" i="1" s="1"/>
  <c r="O49" i="28"/>
  <c r="T48" i="28"/>
  <c r="S50" i="28"/>
  <c r="A50" i="28"/>
  <c r="I49" i="28"/>
  <c r="I57" i="1" l="1"/>
  <c r="M57" i="1"/>
  <c r="R55" i="1"/>
  <c r="H50" i="28"/>
  <c r="G50" i="28"/>
  <c r="N50" i="28"/>
  <c r="J51" i="28"/>
  <c r="K51" i="28"/>
  <c r="L51" i="28"/>
  <c r="B52" i="28"/>
  <c r="M51" i="28"/>
  <c r="E51" i="28"/>
  <c r="D51" i="28"/>
  <c r="F51" i="28" s="1"/>
  <c r="K58" i="1"/>
  <c r="L58" i="1"/>
  <c r="B59" i="1"/>
  <c r="C59" i="1" s="1"/>
  <c r="D58" i="1"/>
  <c r="I58" i="1" s="1"/>
  <c r="E58" i="1"/>
  <c r="G58" i="1" s="1"/>
  <c r="J58" i="1"/>
  <c r="H57" i="1"/>
  <c r="N57" i="1" s="1"/>
  <c r="T49" i="28"/>
  <c r="A51" i="28"/>
  <c r="S51" i="28"/>
  <c r="I50" i="28"/>
  <c r="M58" i="1" l="1"/>
  <c r="O50" i="28"/>
  <c r="F58" i="1"/>
  <c r="R56" i="1"/>
  <c r="M52" i="28"/>
  <c r="D52" i="28"/>
  <c r="F52" i="28" s="1"/>
  <c r="E52" i="28"/>
  <c r="B53" i="28"/>
  <c r="J52" i="28"/>
  <c r="L52" i="28"/>
  <c r="K52" i="28"/>
  <c r="H51" i="28"/>
  <c r="N51" i="28"/>
  <c r="G51" i="28"/>
  <c r="D59" i="1"/>
  <c r="I59" i="1" s="1"/>
  <c r="L59" i="1"/>
  <c r="K59" i="1"/>
  <c r="E59" i="1"/>
  <c r="G59" i="1" s="1"/>
  <c r="J59" i="1"/>
  <c r="M59" i="1" s="1"/>
  <c r="B60" i="1"/>
  <c r="C60" i="1" s="1"/>
  <c r="H58" i="1"/>
  <c r="N58" i="1" s="1"/>
  <c r="T50" i="28"/>
  <c r="A52" i="28"/>
  <c r="S52" i="28"/>
  <c r="I51" i="28"/>
  <c r="F59" i="1" l="1"/>
  <c r="R57" i="1"/>
  <c r="O51" i="28"/>
  <c r="T51" i="28" s="1"/>
  <c r="N52" i="28"/>
  <c r="K53" i="28"/>
  <c r="J53" i="28"/>
  <c r="L53" i="28"/>
  <c r="M53" i="28"/>
  <c r="D53" i="28"/>
  <c r="F53" i="28" s="1"/>
  <c r="E53" i="28"/>
  <c r="B54" i="28"/>
  <c r="H52" i="28"/>
  <c r="O52" i="28" s="1"/>
  <c r="G52" i="28"/>
  <c r="B61" i="1"/>
  <c r="C61" i="1" s="1"/>
  <c r="L60" i="1"/>
  <c r="D60" i="1"/>
  <c r="F60" i="1" s="1"/>
  <c r="K60" i="1"/>
  <c r="E60" i="1"/>
  <c r="G60" i="1" s="1"/>
  <c r="J60" i="1"/>
  <c r="M60" i="1" s="1"/>
  <c r="H59" i="1"/>
  <c r="N59" i="1" s="1"/>
  <c r="I52" i="28"/>
  <c r="S53" i="28"/>
  <c r="A53" i="28"/>
  <c r="R58" i="1" l="1"/>
  <c r="G53" i="28"/>
  <c r="N53" i="28"/>
  <c r="O53" i="28" s="1"/>
  <c r="H53" i="28"/>
  <c r="L54" i="28"/>
  <c r="K54" i="28"/>
  <c r="E54" i="28"/>
  <c r="M54" i="28"/>
  <c r="B55" i="28"/>
  <c r="J54" i="28"/>
  <c r="D54" i="28"/>
  <c r="F54" i="28" s="1"/>
  <c r="I60" i="1"/>
  <c r="H60" i="1"/>
  <c r="N60" i="1" s="1"/>
  <c r="J61" i="1"/>
  <c r="D61" i="1"/>
  <c r="I61" i="1" s="1"/>
  <c r="E61" i="1"/>
  <c r="G61" i="1" s="1"/>
  <c r="L61" i="1"/>
  <c r="B62" i="1"/>
  <c r="C62" i="1" s="1"/>
  <c r="K61" i="1"/>
  <c r="T52" i="28"/>
  <c r="S54" i="28"/>
  <c r="A54" i="28"/>
  <c r="I53" i="28"/>
  <c r="R59" i="1" l="1"/>
  <c r="M61" i="1"/>
  <c r="H54" i="28"/>
  <c r="G54" i="28"/>
  <c r="N54" i="28"/>
  <c r="K55" i="28"/>
  <c r="L55" i="28"/>
  <c r="D55" i="28"/>
  <c r="F55" i="28" s="1"/>
  <c r="J55" i="28"/>
  <c r="E55" i="28"/>
  <c r="B56" i="28"/>
  <c r="M55" i="28"/>
  <c r="F61" i="1"/>
  <c r="H61" i="1"/>
  <c r="N61" i="1" s="1"/>
  <c r="E62" i="1"/>
  <c r="G62" i="1" s="1"/>
  <c r="D62" i="1"/>
  <c r="F62" i="1" s="1"/>
  <c r="B63" i="1"/>
  <c r="C63" i="1" s="1"/>
  <c r="J62" i="1"/>
  <c r="K62" i="1"/>
  <c r="L62" i="1"/>
  <c r="T53" i="28"/>
  <c r="A55" i="28"/>
  <c r="S55" i="28"/>
  <c r="I54" i="28"/>
  <c r="O54" i="28" l="1"/>
  <c r="N55" i="28"/>
  <c r="I62" i="1"/>
  <c r="M62" i="1"/>
  <c r="R60" i="1"/>
  <c r="G55" i="28"/>
  <c r="H55" i="28"/>
  <c r="K56" i="28"/>
  <c r="D56" i="28"/>
  <c r="F56" i="28" s="1"/>
  <c r="M56" i="28"/>
  <c r="E56" i="28"/>
  <c r="B57" i="28"/>
  <c r="J56" i="28"/>
  <c r="L56" i="28"/>
  <c r="H62" i="1"/>
  <c r="N62" i="1" s="1"/>
  <c r="J63" i="1"/>
  <c r="K63" i="1"/>
  <c r="E63" i="1"/>
  <c r="G63" i="1" s="1"/>
  <c r="B64" i="1"/>
  <c r="C64" i="1" s="1"/>
  <c r="D63" i="1"/>
  <c r="I63" i="1" s="1"/>
  <c r="L63" i="1"/>
  <c r="O55" i="28"/>
  <c r="T54" i="28"/>
  <c r="I55" i="28"/>
  <c r="S56" i="28"/>
  <c r="A56" i="28"/>
  <c r="R61" i="1" l="1"/>
  <c r="M63" i="1"/>
  <c r="G56" i="28"/>
  <c r="H56" i="28"/>
  <c r="N56" i="28"/>
  <c r="M57" i="28"/>
  <c r="D57" i="28"/>
  <c r="F57" i="28" s="1"/>
  <c r="B58" i="28"/>
  <c r="J57" i="28"/>
  <c r="K57" i="28"/>
  <c r="E57" i="28"/>
  <c r="G57" i="28" s="1"/>
  <c r="L57" i="28"/>
  <c r="F63" i="1"/>
  <c r="H63" i="1"/>
  <c r="N63" i="1" s="1"/>
  <c r="K64" i="1"/>
  <c r="B65" i="1"/>
  <c r="C65" i="1" s="1"/>
  <c r="J64" i="1"/>
  <c r="L64" i="1"/>
  <c r="E64" i="1"/>
  <c r="G64" i="1" s="1"/>
  <c r="D64" i="1"/>
  <c r="F64" i="1" s="1"/>
  <c r="T55" i="28"/>
  <c r="I56" i="28"/>
  <c r="S57" i="28"/>
  <c r="A57" i="28"/>
  <c r="M64" i="1" l="1"/>
  <c r="O56" i="28"/>
  <c r="R62" i="1"/>
  <c r="H57" i="28"/>
  <c r="E58" i="28"/>
  <c r="G58" i="28" s="1"/>
  <c r="B59" i="28"/>
  <c r="J58" i="28"/>
  <c r="M58" i="28"/>
  <c r="D58" i="28"/>
  <c r="F58" i="28" s="1"/>
  <c r="L58" i="28"/>
  <c r="K58" i="28"/>
  <c r="N57" i="28"/>
  <c r="O57" i="28" s="1"/>
  <c r="I64" i="1"/>
  <c r="I65" i="1" s="1"/>
  <c r="H64" i="1"/>
  <c r="N64" i="1" s="1"/>
  <c r="K65" i="1"/>
  <c r="L65" i="1"/>
  <c r="B66" i="1"/>
  <c r="C66" i="1" s="1"/>
  <c r="D65" i="1"/>
  <c r="F65" i="1" s="1"/>
  <c r="E65" i="1"/>
  <c r="G65" i="1" s="1"/>
  <c r="J65" i="1"/>
  <c r="T56" i="28"/>
  <c r="I57" i="28"/>
  <c r="S58" i="28"/>
  <c r="A58" i="28"/>
  <c r="M65" i="1" l="1"/>
  <c r="R63" i="1"/>
  <c r="H58" i="28"/>
  <c r="N58" i="28"/>
  <c r="O58" i="28" s="1"/>
  <c r="K59" i="28"/>
  <c r="E59" i="28"/>
  <c r="G59" i="28" s="1"/>
  <c r="L59" i="28"/>
  <c r="M59" i="28"/>
  <c r="D59" i="28"/>
  <c r="F59" i="28" s="1"/>
  <c r="J59" i="28"/>
  <c r="B60" i="28"/>
  <c r="H65" i="1"/>
  <c r="N65" i="1" s="1"/>
  <c r="L66" i="1"/>
  <c r="D66" i="1"/>
  <c r="F66" i="1" s="1"/>
  <c r="E66" i="1"/>
  <c r="G66" i="1" s="1"/>
  <c r="B67" i="1"/>
  <c r="C67" i="1" s="1"/>
  <c r="J66" i="1"/>
  <c r="M66" i="1" s="1"/>
  <c r="K66" i="1"/>
  <c r="T57" i="28"/>
  <c r="A59" i="28"/>
  <c r="S59" i="28"/>
  <c r="I58" i="28"/>
  <c r="R64" i="1" l="1"/>
  <c r="I66" i="1"/>
  <c r="I67" i="1" s="1"/>
  <c r="H59" i="28"/>
  <c r="M60" i="28"/>
  <c r="E60" i="28"/>
  <c r="G60" i="28" s="1"/>
  <c r="D60" i="28"/>
  <c r="F60" i="28" s="1"/>
  <c r="B61" i="28"/>
  <c r="J60" i="28"/>
  <c r="K60" i="28"/>
  <c r="L60" i="28"/>
  <c r="N59" i="28"/>
  <c r="H66" i="1"/>
  <c r="N66" i="1" s="1"/>
  <c r="D67" i="1"/>
  <c r="F67" i="1" s="1"/>
  <c r="L67" i="1"/>
  <c r="E67" i="1"/>
  <c r="G67" i="1" s="1"/>
  <c r="B68" i="1"/>
  <c r="C68" i="1" s="1"/>
  <c r="K67" i="1"/>
  <c r="J67" i="1"/>
  <c r="T58" i="28"/>
  <c r="O59" i="28"/>
  <c r="S60" i="28"/>
  <c r="A60" i="28"/>
  <c r="I59" i="28"/>
  <c r="M67" i="1" l="1"/>
  <c r="R65" i="1"/>
  <c r="K61" i="28"/>
  <c r="L61" i="28"/>
  <c r="D61" i="28"/>
  <c r="F61" i="28" s="1"/>
  <c r="E61" i="28"/>
  <c r="G61" i="28" s="1"/>
  <c r="M61" i="28"/>
  <c r="B62" i="28"/>
  <c r="J61" i="28"/>
  <c r="H60" i="28"/>
  <c r="N60" i="28"/>
  <c r="B69" i="1"/>
  <c r="C69" i="1" s="1"/>
  <c r="I68" i="1"/>
  <c r="J68" i="1"/>
  <c r="M68" i="1" s="1"/>
  <c r="D68" i="1"/>
  <c r="R68" i="1"/>
  <c r="F68" i="1"/>
  <c r="E68" i="1"/>
  <c r="G68" i="1" s="1"/>
  <c r="K68" i="1"/>
  <c r="L68" i="1"/>
  <c r="H67" i="1"/>
  <c r="N67" i="1" s="1"/>
  <c r="T59" i="28"/>
  <c r="S61" i="28"/>
  <c r="A61" i="28"/>
  <c r="I60" i="28"/>
  <c r="O60" i="28" l="1"/>
  <c r="R66" i="1"/>
  <c r="R67" i="1"/>
  <c r="H61" i="28"/>
  <c r="N61" i="28"/>
  <c r="L62" i="28"/>
  <c r="B63" i="28"/>
  <c r="E62" i="28"/>
  <c r="G62" i="28" s="1"/>
  <c r="D62" i="28"/>
  <c r="F62" i="28" s="1"/>
  <c r="M62" i="28"/>
  <c r="J62" i="28"/>
  <c r="K62" i="28"/>
  <c r="H68" i="1"/>
  <c r="N68" i="1" s="1"/>
  <c r="J69" i="1"/>
  <c r="M69" i="1" s="1"/>
  <c r="E69" i="1"/>
  <c r="B70" i="1"/>
  <c r="C70" i="1" s="1"/>
  <c r="D69" i="1"/>
  <c r="I69" i="1" s="1"/>
  <c r="G69" i="1"/>
  <c r="K69" i="1"/>
  <c r="L69" i="1"/>
  <c r="R69" i="1"/>
  <c r="T60" i="28"/>
  <c r="S62" i="28"/>
  <c r="A62" i="28"/>
  <c r="I61" i="28"/>
  <c r="F69" i="1" l="1"/>
  <c r="O61" i="28"/>
  <c r="D63" i="28"/>
  <c r="M63" i="28"/>
  <c r="K63" i="28"/>
  <c r="E63" i="28"/>
  <c r="G63" i="28" s="1"/>
  <c r="B64" i="28"/>
  <c r="J63" i="28"/>
  <c r="L63" i="28"/>
  <c r="H62" i="28"/>
  <c r="N62" i="28"/>
  <c r="F63" i="28"/>
  <c r="H69" i="1"/>
  <c r="N69" i="1" s="1"/>
  <c r="I70" i="1"/>
  <c r="J70" i="1"/>
  <c r="E70" i="1"/>
  <c r="K70" i="1"/>
  <c r="M70" i="1" s="1"/>
  <c r="G70" i="1"/>
  <c r="D70" i="1"/>
  <c r="F70" i="1" s="1"/>
  <c r="L70" i="1"/>
  <c r="R70" i="1"/>
  <c r="B71" i="1"/>
  <c r="C71" i="1" s="1"/>
  <c r="T61" i="28"/>
  <c r="I62" i="28"/>
  <c r="A63" i="28"/>
  <c r="S63" i="28"/>
  <c r="O62" i="28" l="1"/>
  <c r="N63" i="28"/>
  <c r="H63" i="28"/>
  <c r="O63" i="28" s="1"/>
  <c r="L64" i="28"/>
  <c r="K64" i="28"/>
  <c r="M64" i="28"/>
  <c r="D64" i="28"/>
  <c r="F64" i="28" s="1"/>
  <c r="E64" i="28"/>
  <c r="G64" i="28" s="1"/>
  <c r="J64" i="28"/>
  <c r="B65" i="28"/>
  <c r="H70" i="1"/>
  <c r="N70" i="1" s="1"/>
  <c r="D71" i="1"/>
  <c r="F71" i="1" s="1"/>
  <c r="L71" i="1"/>
  <c r="E71" i="1"/>
  <c r="G71" i="1" s="1"/>
  <c r="J71" i="1"/>
  <c r="M71" i="1" s="1"/>
  <c r="K71" i="1"/>
  <c r="B72" i="1"/>
  <c r="C72" i="1" s="1"/>
  <c r="R71" i="1"/>
  <c r="T62" i="28"/>
  <c r="I63" i="28"/>
  <c r="A64" i="28"/>
  <c r="S64" i="28"/>
  <c r="I71" i="1" l="1"/>
  <c r="H64" i="28"/>
  <c r="N64" i="28"/>
  <c r="K65" i="28"/>
  <c r="M65" i="28"/>
  <c r="D65" i="28"/>
  <c r="E65" i="28"/>
  <c r="G65" i="28" s="1"/>
  <c r="B66" i="28"/>
  <c r="J65" i="28"/>
  <c r="L65" i="28"/>
  <c r="G72" i="1"/>
  <c r="B73" i="1"/>
  <c r="C73" i="1" s="1"/>
  <c r="R72" i="1"/>
  <c r="K72" i="1"/>
  <c r="E72" i="1"/>
  <c r="J72" i="1"/>
  <c r="M72" i="1" s="1"/>
  <c r="L72" i="1"/>
  <c r="D72" i="1"/>
  <c r="F72" i="1" s="1"/>
  <c r="H71" i="1"/>
  <c r="N71" i="1" s="1"/>
  <c r="T63" i="28"/>
  <c r="I64" i="28"/>
  <c r="S65" i="28"/>
  <c r="A65" i="28"/>
  <c r="I72" i="1" l="1"/>
  <c r="O64" i="28"/>
  <c r="H65" i="28"/>
  <c r="N65" i="28"/>
  <c r="M66" i="28"/>
  <c r="K66" i="28"/>
  <c r="L66" i="28"/>
  <c r="E66" i="28"/>
  <c r="G66" i="28" s="1"/>
  <c r="J66" i="28"/>
  <c r="D66" i="28"/>
  <c r="B67" i="28"/>
  <c r="F65" i="28"/>
  <c r="F66" i="28" s="1"/>
  <c r="J73" i="1"/>
  <c r="M73" i="1" s="1"/>
  <c r="R73" i="1"/>
  <c r="K73" i="1"/>
  <c r="E73" i="1"/>
  <c r="G73" i="1" s="1"/>
  <c r="D73" i="1"/>
  <c r="F73" i="1" s="1"/>
  <c r="L73" i="1"/>
  <c r="B74" i="1"/>
  <c r="C74" i="1" s="1"/>
  <c r="H72" i="1"/>
  <c r="N72" i="1" s="1"/>
  <c r="T64" i="28"/>
  <c r="S66" i="28"/>
  <c r="A66" i="28"/>
  <c r="I73" i="1" l="1"/>
  <c r="O65" i="28"/>
  <c r="H66" i="28"/>
  <c r="I65" i="28"/>
  <c r="N66" i="28"/>
  <c r="O66" i="28" s="1"/>
  <c r="L67" i="28"/>
  <c r="J67" i="28"/>
  <c r="K67" i="28"/>
  <c r="M67" i="28"/>
  <c r="E67" i="28"/>
  <c r="B68" i="28"/>
  <c r="D67" i="28"/>
  <c r="G67" i="28"/>
  <c r="H73" i="1"/>
  <c r="N73" i="1" s="1"/>
  <c r="E74" i="1"/>
  <c r="D74" i="1"/>
  <c r="F74" i="1" s="1"/>
  <c r="J74" i="1"/>
  <c r="M74" i="1" s="1"/>
  <c r="G74" i="1"/>
  <c r="R74" i="1"/>
  <c r="K74" i="1"/>
  <c r="B75" i="1"/>
  <c r="C75" i="1" s="1"/>
  <c r="L74" i="1"/>
  <c r="T65" i="28"/>
  <c r="I66" i="28"/>
  <c r="A67" i="28"/>
  <c r="S67" i="28"/>
  <c r="I74" i="1" l="1"/>
  <c r="H67" i="28"/>
  <c r="N67" i="28"/>
  <c r="F67" i="28"/>
  <c r="I67" i="28" s="1"/>
  <c r="K68" i="28"/>
  <c r="E68" i="28"/>
  <c r="G68" i="28" s="1"/>
  <c r="L68" i="28"/>
  <c r="D68" i="28"/>
  <c r="H68" i="28" s="1"/>
  <c r="M68" i="28"/>
  <c r="J68" i="28"/>
  <c r="B69" i="28"/>
  <c r="H74" i="1"/>
  <c r="N74" i="1" s="1"/>
  <c r="D75" i="1"/>
  <c r="I75" i="1" s="1"/>
  <c r="L75" i="1"/>
  <c r="E75" i="1"/>
  <c r="G75" i="1"/>
  <c r="J75" i="1"/>
  <c r="M75" i="1" s="1"/>
  <c r="K75" i="1"/>
  <c r="B76" i="1"/>
  <c r="C76" i="1" s="1"/>
  <c r="R75" i="1"/>
  <c r="O67" i="28"/>
  <c r="T66" i="28"/>
  <c r="S68" i="28"/>
  <c r="A68" i="28"/>
  <c r="F75" i="1" l="1"/>
  <c r="F68" i="28"/>
  <c r="N68" i="28"/>
  <c r="O68" i="28" s="1"/>
  <c r="J69" i="28"/>
  <c r="K69" i="28"/>
  <c r="M69" i="28"/>
  <c r="L69" i="28"/>
  <c r="E69" i="28"/>
  <c r="G69" i="28" s="1"/>
  <c r="D69" i="28"/>
  <c r="B70" i="28"/>
  <c r="H75" i="1"/>
  <c r="N75" i="1" s="1"/>
  <c r="R76" i="1"/>
  <c r="K76" i="1"/>
  <c r="D76" i="1"/>
  <c r="F76" i="1" s="1"/>
  <c r="L76" i="1"/>
  <c r="B77" i="1"/>
  <c r="C77" i="1" s="1"/>
  <c r="E76" i="1"/>
  <c r="G76" i="1" s="1"/>
  <c r="J76" i="1"/>
  <c r="M76" i="1" s="1"/>
  <c r="I68" i="28"/>
  <c r="T67" i="28"/>
  <c r="S69" i="28"/>
  <c r="A69" i="28"/>
  <c r="I76" i="1" l="1"/>
  <c r="I77" i="1" s="1"/>
  <c r="H69" i="28"/>
  <c r="N69" i="28"/>
  <c r="O69" i="28" s="1"/>
  <c r="F69" i="28"/>
  <c r="I69" i="28" s="1"/>
  <c r="B71" i="28"/>
  <c r="L70" i="28"/>
  <c r="K70" i="28"/>
  <c r="M70" i="28"/>
  <c r="J70" i="28"/>
  <c r="D70" i="28"/>
  <c r="E70" i="28"/>
  <c r="G70" i="28" s="1"/>
  <c r="J77" i="1"/>
  <c r="M77" i="1" s="1"/>
  <c r="D77" i="1"/>
  <c r="F77" i="1" s="1"/>
  <c r="R77" i="1"/>
  <c r="E77" i="1"/>
  <c r="G77" i="1" s="1"/>
  <c r="K77" i="1"/>
  <c r="L77" i="1"/>
  <c r="H76" i="1"/>
  <c r="N76" i="1" s="1"/>
  <c r="T68" i="28"/>
  <c r="S70" i="28"/>
  <c r="A70" i="28"/>
  <c r="N70" i="28" l="1"/>
  <c r="H70" i="28"/>
  <c r="F70" i="28"/>
  <c r="I70" i="28" s="1"/>
  <c r="M71" i="28"/>
  <c r="L71" i="28"/>
  <c r="E71" i="28"/>
  <c r="G71" i="28" s="1"/>
  <c r="D71" i="28"/>
  <c r="H71" i="28" s="1"/>
  <c r="B72" i="28"/>
  <c r="J71" i="28"/>
  <c r="K71" i="28"/>
  <c r="H77" i="1"/>
  <c r="N77" i="1" s="1"/>
  <c r="O70" i="28"/>
  <c r="T69" i="28"/>
  <c r="A71" i="28"/>
  <c r="S71" i="28"/>
  <c r="N71" i="28" l="1"/>
  <c r="F71" i="28"/>
  <c r="I71" i="28" s="1"/>
  <c r="L72" i="28"/>
  <c r="K72" i="28"/>
  <c r="D72" i="28"/>
  <c r="E72" i="28"/>
  <c r="G72" i="28" s="1"/>
  <c r="M72" i="28"/>
  <c r="J72" i="28"/>
  <c r="B73" i="28"/>
  <c r="O71" i="28"/>
  <c r="T70" i="28"/>
  <c r="S72" i="28"/>
  <c r="A72" i="28"/>
  <c r="F72" i="28" l="1"/>
  <c r="N72" i="28"/>
  <c r="H72" i="28"/>
  <c r="K73" i="28"/>
  <c r="E73" i="28"/>
  <c r="G73" i="28" s="1"/>
  <c r="L73" i="28"/>
  <c r="D73" i="28"/>
  <c r="B74" i="28"/>
  <c r="J73" i="28"/>
  <c r="M73" i="28"/>
  <c r="C10" i="1"/>
  <c r="C9" i="1"/>
  <c r="T71" i="28"/>
  <c r="O72" i="28"/>
  <c r="I72" i="28"/>
  <c r="S73" i="28"/>
  <c r="A73" i="28"/>
  <c r="N73" i="28" l="1"/>
  <c r="H73" i="28"/>
  <c r="F73" i="28"/>
  <c r="L74" i="28"/>
  <c r="E74" i="28"/>
  <c r="G74" i="28" s="1"/>
  <c r="M74" i="28"/>
  <c r="D74" i="28"/>
  <c r="F74" i="28" s="1"/>
  <c r="J74" i="28"/>
  <c r="K74" i="28"/>
  <c r="B75" i="28"/>
  <c r="O73" i="28"/>
  <c r="T72" i="28"/>
  <c r="I73" i="28"/>
  <c r="S74" i="28"/>
  <c r="A74" i="28"/>
  <c r="N74" i="28" l="1"/>
  <c r="H74" i="28"/>
  <c r="K75" i="28"/>
  <c r="M75" i="28"/>
  <c r="E75" i="28"/>
  <c r="G75" i="28" s="1"/>
  <c r="D75" i="28"/>
  <c r="J75" i="28"/>
  <c r="B76" i="28"/>
  <c r="L75" i="28"/>
  <c r="T73" i="28"/>
  <c r="O74" i="28"/>
  <c r="I74" i="28"/>
  <c r="A75" i="28"/>
  <c r="S75" i="28"/>
  <c r="H75" i="28" l="1"/>
  <c r="N75" i="28"/>
  <c r="F75" i="28"/>
  <c r="K76" i="28"/>
  <c r="E76" i="28"/>
  <c r="G76" i="28" s="1"/>
  <c r="J76" i="28"/>
  <c r="D76" i="28"/>
  <c r="H76" i="28" s="1"/>
  <c r="B77" i="28"/>
  <c r="L76" i="28"/>
  <c r="M76" i="28"/>
  <c r="O75" i="28"/>
  <c r="T74" i="28"/>
  <c r="I75" i="28"/>
  <c r="S76" i="28"/>
  <c r="A76" i="28"/>
  <c r="F76" i="28" l="1"/>
  <c r="I76" i="28" s="1"/>
  <c r="N76" i="28"/>
  <c r="K77" i="28"/>
  <c r="L77" i="28"/>
  <c r="J77" i="28"/>
  <c r="M77" i="28"/>
  <c r="E77" i="28"/>
  <c r="G77" i="28" s="1"/>
  <c r="D77" i="28"/>
  <c r="F77" i="28" s="1"/>
  <c r="O76" i="28"/>
  <c r="T75" i="28"/>
  <c r="A77" i="28"/>
  <c r="S77" i="28"/>
  <c r="N77" i="28" l="1"/>
  <c r="H77" i="28"/>
  <c r="O77" i="28" s="1"/>
  <c r="W3" i="28"/>
  <c r="T76" i="28"/>
  <c r="I77" i="28"/>
  <c r="T77" i="28" l="1"/>
  <c r="C9" i="28" l="1"/>
  <c r="X2" i="13" l="1"/>
  <c r="W2" i="13"/>
  <c r="X1" i="13"/>
  <c r="W1" i="13"/>
  <c r="C18" i="13" l="1"/>
  <c r="T18" i="13" l="1"/>
  <c r="L18" i="23"/>
  <c r="N18" i="23" s="1"/>
  <c r="B20" i="23" l="1"/>
  <c r="M19" i="23"/>
  <c r="K19" i="23"/>
  <c r="J19" i="23"/>
  <c r="M20" i="23" l="1"/>
  <c r="B21" i="23"/>
  <c r="J20" i="23"/>
  <c r="K20" i="23"/>
  <c r="M21" i="23" l="1"/>
  <c r="B22" i="23"/>
  <c r="J21" i="23"/>
  <c r="K21" i="23"/>
  <c r="J22" i="23" l="1"/>
  <c r="M22" i="23"/>
  <c r="B23" i="23"/>
  <c r="K22" i="23"/>
  <c r="K23" i="23" l="1"/>
  <c r="J23" i="23"/>
  <c r="B24" i="23"/>
  <c r="M23" i="23"/>
  <c r="B25" i="23" l="1"/>
  <c r="M24" i="23"/>
  <c r="K24" i="23"/>
  <c r="J24" i="23"/>
  <c r="J25" i="23" l="1"/>
  <c r="K25" i="23"/>
  <c r="B26" i="23"/>
  <c r="M25" i="23"/>
  <c r="K26" i="23" l="1"/>
  <c r="M26" i="23"/>
  <c r="J26" i="23"/>
  <c r="B27" i="23"/>
  <c r="K27" i="23" l="1"/>
  <c r="B28" i="23"/>
  <c r="M27" i="23"/>
  <c r="J27" i="23"/>
  <c r="C18" i="23"/>
  <c r="S18" i="23" l="1"/>
  <c r="C21" i="23"/>
  <c r="C22" i="23"/>
  <c r="C23" i="23"/>
  <c r="C24" i="23"/>
  <c r="C25" i="23"/>
  <c r="C26" i="23"/>
  <c r="C27" i="23"/>
  <c r="C19" i="23"/>
  <c r="C20" i="23"/>
  <c r="C28" i="23"/>
  <c r="M28" i="23"/>
  <c r="J28" i="23"/>
  <c r="B29" i="23"/>
  <c r="C29" i="23" s="1"/>
  <c r="K28" i="23"/>
  <c r="E24" i="23"/>
  <c r="D23" i="23"/>
  <c r="E18" i="23"/>
  <c r="E25" i="23"/>
  <c r="D24" i="23"/>
  <c r="D28" i="23"/>
  <c r="E22" i="23"/>
  <c r="D22" i="23"/>
  <c r="E26" i="23"/>
  <c r="D25" i="23"/>
  <c r="E20" i="23"/>
  <c r="D27" i="23"/>
  <c r="D19" i="23"/>
  <c r="D18" i="23"/>
  <c r="E23" i="23"/>
  <c r="E27" i="23"/>
  <c r="E19" i="23"/>
  <c r="D26" i="23"/>
  <c r="E28" i="23"/>
  <c r="E21" i="23"/>
  <c r="D20" i="23"/>
  <c r="D21" i="23"/>
  <c r="E29" i="23" l="1"/>
  <c r="D29" i="23"/>
  <c r="H29" i="23" s="1"/>
  <c r="G18" i="23"/>
  <c r="G19" i="23" s="1"/>
  <c r="G20" i="23" s="1"/>
  <c r="G21" i="23" s="1"/>
  <c r="G22" i="23" s="1"/>
  <c r="G23" i="23" s="1"/>
  <c r="G24" i="23" s="1"/>
  <c r="G25" i="23" s="1"/>
  <c r="G26" i="23" s="1"/>
  <c r="G27" i="23" s="1"/>
  <c r="G28" i="23" s="1"/>
  <c r="G29" i="23" s="1"/>
  <c r="H28" i="23"/>
  <c r="H19" i="23"/>
  <c r="H22" i="23"/>
  <c r="H24" i="23"/>
  <c r="K29" i="23"/>
  <c r="B30" i="23"/>
  <c r="C30" i="23" s="1"/>
  <c r="J29" i="23"/>
  <c r="M29" i="23"/>
  <c r="H21" i="23"/>
  <c r="H25" i="23"/>
  <c r="H23" i="23"/>
  <c r="H26" i="23"/>
  <c r="H27" i="23"/>
  <c r="H20" i="23"/>
  <c r="F18" i="23"/>
  <c r="F19" i="23" s="1"/>
  <c r="F20" i="23" s="1"/>
  <c r="F21" i="23" s="1"/>
  <c r="F22" i="23" s="1"/>
  <c r="F23" i="23" s="1"/>
  <c r="F24" i="23" s="1"/>
  <c r="F25" i="23" s="1"/>
  <c r="F26" i="23" s="1"/>
  <c r="F27" i="23" s="1"/>
  <c r="F28" i="23" s="1"/>
  <c r="F29" i="23" s="1"/>
  <c r="H18" i="23"/>
  <c r="O18" i="23" s="1"/>
  <c r="V1" i="23"/>
  <c r="W1" i="23"/>
  <c r="V2" i="23"/>
  <c r="W2" i="23"/>
  <c r="A18" i="23"/>
  <c r="C17" i="23"/>
  <c r="S17" i="23" s="1"/>
  <c r="J30" i="23" l="1"/>
  <c r="M30" i="23"/>
  <c r="K30" i="23"/>
  <c r="B31" i="23"/>
  <c r="C31" i="23" s="1"/>
  <c r="D30" i="23"/>
  <c r="E30" i="23"/>
  <c r="G30" i="23" l="1"/>
  <c r="B32" i="23"/>
  <c r="C32" i="23" s="1"/>
  <c r="M31" i="23"/>
  <c r="K31" i="23"/>
  <c r="J31" i="23"/>
  <c r="E31" i="23"/>
  <c r="D31" i="23"/>
  <c r="F30" i="23"/>
  <c r="H30" i="23"/>
  <c r="I18" i="23"/>
  <c r="A19" i="23"/>
  <c r="L19" i="23" s="1"/>
  <c r="N19" i="23" s="1"/>
  <c r="A20" i="23"/>
  <c r="L20" i="23" s="1"/>
  <c r="N20" i="23" s="1"/>
  <c r="O20" i="23" s="1"/>
  <c r="O19" i="23" l="1"/>
  <c r="C19" i="13"/>
  <c r="F31" i="23"/>
  <c r="H31" i="23"/>
  <c r="G31" i="23"/>
  <c r="M32" i="23"/>
  <c r="K32" i="23"/>
  <c r="J32" i="23"/>
  <c r="B33" i="23"/>
  <c r="C33" i="23" s="1"/>
  <c r="E32" i="23"/>
  <c r="D32" i="23"/>
  <c r="E18" i="13"/>
  <c r="D18" i="13"/>
  <c r="S19" i="23"/>
  <c r="S20" i="23"/>
  <c r="I19" i="23"/>
  <c r="N2" i="15"/>
  <c r="G18" i="13" l="1"/>
  <c r="C20" i="13"/>
  <c r="G32" i="23"/>
  <c r="H32" i="23"/>
  <c r="F18" i="13"/>
  <c r="H18" i="13"/>
  <c r="P18" i="13" s="1"/>
  <c r="B34" i="23"/>
  <c r="C34" i="23" s="1"/>
  <c r="K33" i="23"/>
  <c r="J33" i="23"/>
  <c r="M33" i="23"/>
  <c r="D33" i="23"/>
  <c r="E33" i="23"/>
  <c r="F32" i="23"/>
  <c r="M19" i="13"/>
  <c r="N19" i="13"/>
  <c r="L19" i="13"/>
  <c r="K19" i="13"/>
  <c r="J19" i="13"/>
  <c r="E19" i="13"/>
  <c r="D19" i="13"/>
  <c r="T19" i="13"/>
  <c r="S21" i="23"/>
  <c r="A21" i="23"/>
  <c r="L21" i="23" s="1"/>
  <c r="N21" i="23" s="1"/>
  <c r="O21" i="23" s="1"/>
  <c r="I20" i="23"/>
  <c r="M2" i="15"/>
  <c r="M1" i="15"/>
  <c r="N1" i="15" s="1"/>
  <c r="C18" i="14"/>
  <c r="C17" i="14"/>
  <c r="C17" i="13"/>
  <c r="T17" i="13" s="1"/>
  <c r="R17" i="1"/>
  <c r="I20" i="9"/>
  <c r="I76" i="9"/>
  <c r="I59" i="9"/>
  <c r="G19" i="13" l="1"/>
  <c r="C21" i="13"/>
  <c r="C21" i="14"/>
  <c r="C29" i="14"/>
  <c r="C19" i="14"/>
  <c r="C24" i="14"/>
  <c r="C25" i="14"/>
  <c r="C20" i="14"/>
  <c r="C22" i="14"/>
  <c r="C23" i="14"/>
  <c r="C27" i="14"/>
  <c r="C28" i="14"/>
  <c r="C26" i="14"/>
  <c r="G33" i="23"/>
  <c r="H19" i="13"/>
  <c r="O19" i="13"/>
  <c r="F19" i="13"/>
  <c r="I18" i="13"/>
  <c r="F33" i="23"/>
  <c r="K34" i="23"/>
  <c r="B35" i="23"/>
  <c r="C35" i="23" s="1"/>
  <c r="J34" i="23"/>
  <c r="M34" i="23"/>
  <c r="D34" i="23"/>
  <c r="E34" i="23"/>
  <c r="H33" i="23"/>
  <c r="M20" i="13"/>
  <c r="N20" i="13"/>
  <c r="L20" i="13"/>
  <c r="J20" i="13"/>
  <c r="K20" i="13"/>
  <c r="E20" i="13"/>
  <c r="G20" i="13" s="1"/>
  <c r="D20" i="13"/>
  <c r="T20" i="13"/>
  <c r="A22" i="23"/>
  <c r="L22" i="23" s="1"/>
  <c r="N22" i="23" s="1"/>
  <c r="O22" i="23" s="1"/>
  <c r="I21" i="23"/>
  <c r="H20" i="13" l="1"/>
  <c r="C22" i="13"/>
  <c r="G34" i="23"/>
  <c r="P19" i="13"/>
  <c r="F20" i="13"/>
  <c r="I19" i="13"/>
  <c r="H34" i="23"/>
  <c r="M35" i="23"/>
  <c r="K35" i="23"/>
  <c r="J35" i="23"/>
  <c r="B36" i="23"/>
  <c r="C36" i="23" s="1"/>
  <c r="D35" i="23"/>
  <c r="E35" i="23"/>
  <c r="G35" i="23" s="1"/>
  <c r="F34" i="23"/>
  <c r="O20" i="13"/>
  <c r="M21" i="13"/>
  <c r="N21" i="13"/>
  <c r="J21" i="13"/>
  <c r="K21" i="13"/>
  <c r="L21" i="13"/>
  <c r="E21" i="13"/>
  <c r="G21" i="13" s="1"/>
  <c r="D21" i="13"/>
  <c r="S22" i="23"/>
  <c r="I22" i="23"/>
  <c r="A23" i="23"/>
  <c r="L23" i="23" s="1"/>
  <c r="N23" i="23" s="1"/>
  <c r="O23" i="23" s="1"/>
  <c r="V2" i="1"/>
  <c r="U2" i="1"/>
  <c r="V1" i="1"/>
  <c r="U1" i="1"/>
  <c r="C23" i="13" l="1"/>
  <c r="H21" i="13"/>
  <c r="F21" i="13"/>
  <c r="I20" i="13"/>
  <c r="F35" i="23"/>
  <c r="K36" i="23"/>
  <c r="M36" i="23"/>
  <c r="J36" i="23"/>
  <c r="B37" i="23"/>
  <c r="C37" i="23" s="1"/>
  <c r="D36" i="23"/>
  <c r="E36" i="23"/>
  <c r="G36" i="23" s="1"/>
  <c r="H35" i="23"/>
  <c r="O21" i="13"/>
  <c r="P20" i="13"/>
  <c r="M22" i="13"/>
  <c r="N22" i="13"/>
  <c r="L22" i="13"/>
  <c r="K22" i="13"/>
  <c r="J22" i="13"/>
  <c r="E22" i="13"/>
  <c r="G22" i="13" s="1"/>
  <c r="D22" i="13"/>
  <c r="S23" i="23"/>
  <c r="T21" i="13"/>
  <c r="A24" i="23"/>
  <c r="L24" i="23" s="1"/>
  <c r="N24" i="23" s="1"/>
  <c r="O24" i="23" s="1"/>
  <c r="S24" i="23"/>
  <c r="I23" i="23"/>
  <c r="I18" i="14"/>
  <c r="G18" i="14"/>
  <c r="B19" i="14"/>
  <c r="C24" i="13" l="1"/>
  <c r="H22" i="13"/>
  <c r="P21" i="13"/>
  <c r="F22" i="13"/>
  <c r="I21" i="13"/>
  <c r="K37" i="23"/>
  <c r="B38" i="23"/>
  <c r="C38" i="23" s="1"/>
  <c r="J37" i="23"/>
  <c r="M37" i="23"/>
  <c r="E37" i="23"/>
  <c r="G37" i="23" s="1"/>
  <c r="D37" i="23"/>
  <c r="F36" i="23"/>
  <c r="H36" i="23"/>
  <c r="O22" i="13"/>
  <c r="L23" i="13"/>
  <c r="M23" i="13"/>
  <c r="N23" i="13"/>
  <c r="K23" i="13"/>
  <c r="J23" i="13"/>
  <c r="E19" i="14"/>
  <c r="D19" i="14"/>
  <c r="E23" i="13"/>
  <c r="G23" i="13" s="1"/>
  <c r="D23" i="13"/>
  <c r="T22" i="13"/>
  <c r="A25" i="23"/>
  <c r="L25" i="23" s="1"/>
  <c r="N25" i="23" s="1"/>
  <c r="O25" i="23" s="1"/>
  <c r="S25" i="23"/>
  <c r="I24" i="23"/>
  <c r="F18" i="14"/>
  <c r="H18" i="14"/>
  <c r="N18" i="14" s="1"/>
  <c r="B20" i="14"/>
  <c r="P22" i="13" l="1"/>
  <c r="C25" i="13"/>
  <c r="F37" i="23"/>
  <c r="H23" i="13"/>
  <c r="F23" i="13"/>
  <c r="I22" i="13"/>
  <c r="M38" i="23"/>
  <c r="J38" i="23"/>
  <c r="K38" i="23"/>
  <c r="B39" i="23"/>
  <c r="C39" i="23" s="1"/>
  <c r="E38" i="23"/>
  <c r="G38" i="23" s="1"/>
  <c r="D38" i="23"/>
  <c r="H37" i="23"/>
  <c r="O23" i="13"/>
  <c r="L24" i="13"/>
  <c r="M24" i="13"/>
  <c r="N24" i="13"/>
  <c r="J24" i="13"/>
  <c r="K24" i="13"/>
  <c r="D20" i="14"/>
  <c r="E20" i="14"/>
  <c r="D24" i="13"/>
  <c r="E24" i="13"/>
  <c r="G24" i="13" s="1"/>
  <c r="T23" i="13"/>
  <c r="S26" i="23"/>
  <c r="A26" i="23"/>
  <c r="L26" i="23" s="1"/>
  <c r="N26" i="23" s="1"/>
  <c r="O26" i="23" s="1"/>
  <c r="I25" i="23"/>
  <c r="H19" i="14"/>
  <c r="N19" i="14" s="1"/>
  <c r="F19" i="14"/>
  <c r="I19" i="14"/>
  <c r="B21" i="14"/>
  <c r="G19" i="14"/>
  <c r="C26" i="13" l="1"/>
  <c r="P23" i="13"/>
  <c r="H38" i="23"/>
  <c r="H24" i="13"/>
  <c r="F24" i="13"/>
  <c r="I23" i="13"/>
  <c r="M39" i="23"/>
  <c r="K39" i="23"/>
  <c r="B40" i="23"/>
  <c r="C40" i="23" s="1"/>
  <c r="J39" i="23"/>
  <c r="E39" i="23"/>
  <c r="G39" i="23" s="1"/>
  <c r="D39" i="23"/>
  <c r="F38" i="23"/>
  <c r="O24" i="13"/>
  <c r="P24" i="13" s="1"/>
  <c r="L25" i="13"/>
  <c r="M25" i="13"/>
  <c r="N25" i="13"/>
  <c r="J25" i="13"/>
  <c r="K25" i="13"/>
  <c r="D21" i="14"/>
  <c r="E21" i="14"/>
  <c r="E25" i="13"/>
  <c r="G25" i="13" s="1"/>
  <c r="D25" i="13"/>
  <c r="T24" i="13"/>
  <c r="A27" i="23"/>
  <c r="L27" i="23" s="1"/>
  <c r="N27" i="23" s="1"/>
  <c r="O27" i="23" s="1"/>
  <c r="S27" i="23"/>
  <c r="I26" i="23"/>
  <c r="S19" i="14"/>
  <c r="G20" i="14"/>
  <c r="F20" i="14"/>
  <c r="H20" i="14"/>
  <c r="N20" i="14" s="1"/>
  <c r="I20" i="14"/>
  <c r="B22" i="14"/>
  <c r="C27" i="13" l="1"/>
  <c r="H39" i="23"/>
  <c r="H25" i="13"/>
  <c r="F25" i="13"/>
  <c r="I24" i="13"/>
  <c r="F39" i="23"/>
  <c r="B41" i="23"/>
  <c r="C41" i="23" s="1"/>
  <c r="M40" i="23"/>
  <c r="J40" i="23"/>
  <c r="K40" i="23"/>
  <c r="E40" i="23"/>
  <c r="G40" i="23" s="1"/>
  <c r="D40" i="23"/>
  <c r="O25" i="13"/>
  <c r="L26" i="13"/>
  <c r="M26" i="13"/>
  <c r="K26" i="13"/>
  <c r="N26" i="13"/>
  <c r="J26" i="13"/>
  <c r="D22" i="14"/>
  <c r="E22" i="14"/>
  <c r="E26" i="13"/>
  <c r="G26" i="13" s="1"/>
  <c r="D26" i="13"/>
  <c r="I38" i="9"/>
  <c r="T25" i="13"/>
  <c r="S28" i="23"/>
  <c r="A28" i="23"/>
  <c r="L28" i="23" s="1"/>
  <c r="N28" i="23" s="1"/>
  <c r="O28" i="23" s="1"/>
  <c r="I27" i="23"/>
  <c r="I21" i="14"/>
  <c r="F21" i="14"/>
  <c r="G21" i="14"/>
  <c r="S20" i="14"/>
  <c r="B23" i="14"/>
  <c r="H21" i="14"/>
  <c r="N21" i="14" s="1"/>
  <c r="C28" i="13" l="1"/>
  <c r="H26" i="13"/>
  <c r="F40" i="23"/>
  <c r="F26" i="13"/>
  <c r="I25" i="13"/>
  <c r="B42" i="23"/>
  <c r="C42" i="23" s="1"/>
  <c r="M41" i="23"/>
  <c r="J41" i="23"/>
  <c r="K41" i="23"/>
  <c r="D41" i="23"/>
  <c r="E41" i="23"/>
  <c r="G41" i="23" s="1"/>
  <c r="H40" i="23"/>
  <c r="P25" i="13"/>
  <c r="O26" i="13"/>
  <c r="N27" i="13"/>
  <c r="L27" i="13"/>
  <c r="J27" i="13"/>
  <c r="M27" i="13"/>
  <c r="K27" i="13"/>
  <c r="D23" i="14"/>
  <c r="E23" i="14"/>
  <c r="E27" i="13"/>
  <c r="G27" i="13" s="1"/>
  <c r="D27" i="13"/>
  <c r="T26" i="13"/>
  <c r="A29" i="23"/>
  <c r="L29" i="23" s="1"/>
  <c r="N29" i="23" s="1"/>
  <c r="O29" i="23" s="1"/>
  <c r="S29" i="23"/>
  <c r="I28" i="23"/>
  <c r="F22" i="14"/>
  <c r="H22" i="14"/>
  <c r="N22" i="14" s="1"/>
  <c r="S21" i="14"/>
  <c r="I22" i="14"/>
  <c r="G22" i="14"/>
  <c r="B24" i="14"/>
  <c r="H27" i="13" l="1"/>
  <c r="C29" i="13"/>
  <c r="O27" i="13"/>
  <c r="F27" i="13"/>
  <c r="I26" i="13"/>
  <c r="B43" i="23"/>
  <c r="C43" i="23" s="1"/>
  <c r="K42" i="23"/>
  <c r="M42" i="23"/>
  <c r="J42" i="23"/>
  <c r="E42" i="23"/>
  <c r="G42" i="23" s="1"/>
  <c r="D42" i="23"/>
  <c r="H41" i="23"/>
  <c r="F41" i="23"/>
  <c r="P26" i="13"/>
  <c r="N28" i="13"/>
  <c r="L28" i="13"/>
  <c r="M28" i="13"/>
  <c r="K28" i="13"/>
  <c r="J28" i="13"/>
  <c r="D24" i="14"/>
  <c r="E24" i="14"/>
  <c r="E28" i="13"/>
  <c r="G28" i="13" s="1"/>
  <c r="D28" i="13"/>
  <c r="T27" i="13"/>
  <c r="A30" i="23"/>
  <c r="L30" i="23" s="1"/>
  <c r="N30" i="23" s="1"/>
  <c r="O30" i="23" s="1"/>
  <c r="S30" i="23"/>
  <c r="I29" i="23"/>
  <c r="S22" i="14"/>
  <c r="I23" i="14"/>
  <c r="F23" i="14"/>
  <c r="H23" i="14"/>
  <c r="N23" i="14" s="1"/>
  <c r="B25" i="14"/>
  <c r="G23" i="14"/>
  <c r="P27" i="13" l="1"/>
  <c r="C30" i="13"/>
  <c r="H42" i="23"/>
  <c r="H28" i="13"/>
  <c r="F28" i="13"/>
  <c r="I27" i="13"/>
  <c r="F42" i="23"/>
  <c r="M43" i="23"/>
  <c r="K43" i="23"/>
  <c r="B44" i="23"/>
  <c r="C44" i="23" s="1"/>
  <c r="J43" i="23"/>
  <c r="E43" i="23"/>
  <c r="G43" i="23" s="1"/>
  <c r="D43" i="23"/>
  <c r="O28" i="13"/>
  <c r="P28" i="13" s="1"/>
  <c r="N29" i="13"/>
  <c r="L29" i="13"/>
  <c r="M29" i="13"/>
  <c r="K29" i="13"/>
  <c r="J29" i="13"/>
  <c r="E25" i="14"/>
  <c r="D25" i="14"/>
  <c r="E29" i="13"/>
  <c r="G29" i="13" s="1"/>
  <c r="D29" i="13"/>
  <c r="H29" i="13" s="1"/>
  <c r="T28" i="13"/>
  <c r="A31" i="23"/>
  <c r="L31" i="23" s="1"/>
  <c r="N31" i="23" s="1"/>
  <c r="O31" i="23" s="1"/>
  <c r="I30" i="23"/>
  <c r="S31" i="23"/>
  <c r="S23" i="14"/>
  <c r="I24" i="14"/>
  <c r="G24" i="14"/>
  <c r="H24" i="14"/>
  <c r="N24" i="14" s="1"/>
  <c r="F24" i="14"/>
  <c r="B26" i="14"/>
  <c r="C31" i="13" l="1"/>
  <c r="F43" i="23"/>
  <c r="F29" i="13"/>
  <c r="I28" i="13"/>
  <c r="B45" i="23"/>
  <c r="C45" i="23" s="1"/>
  <c r="M44" i="23"/>
  <c r="J44" i="23"/>
  <c r="K44" i="23"/>
  <c r="D44" i="23"/>
  <c r="E44" i="23"/>
  <c r="G44" i="23" s="1"/>
  <c r="H43" i="23"/>
  <c r="O29" i="13"/>
  <c r="P29" i="13" s="1"/>
  <c r="N30" i="13"/>
  <c r="M30" i="13"/>
  <c r="K30" i="13"/>
  <c r="J30" i="13"/>
  <c r="L30" i="13"/>
  <c r="E26" i="14"/>
  <c r="D26" i="14"/>
  <c r="E30" i="13"/>
  <c r="G30" i="13" s="1"/>
  <c r="D30" i="13"/>
  <c r="T29" i="13"/>
  <c r="S32" i="23"/>
  <c r="I31" i="23"/>
  <c r="A32" i="23"/>
  <c r="L32" i="23" s="1"/>
  <c r="N32" i="23" s="1"/>
  <c r="O32" i="23" s="1"/>
  <c r="I25" i="14"/>
  <c r="S24" i="14"/>
  <c r="G25" i="14"/>
  <c r="F25" i="14"/>
  <c r="H25" i="14"/>
  <c r="N25" i="14" s="1"/>
  <c r="B27" i="14"/>
  <c r="C32" i="13" l="1"/>
  <c r="F44" i="23"/>
  <c r="F30" i="13"/>
  <c r="I29" i="13"/>
  <c r="H30" i="13"/>
  <c r="M45" i="23"/>
  <c r="J45" i="23"/>
  <c r="K45" i="23"/>
  <c r="B46" i="23"/>
  <c r="C46" i="23" s="1"/>
  <c r="D45" i="23"/>
  <c r="E45" i="23"/>
  <c r="G45" i="23" s="1"/>
  <c r="H44" i="23"/>
  <c r="O30" i="13"/>
  <c r="M31" i="13"/>
  <c r="N31" i="13"/>
  <c r="L31" i="13"/>
  <c r="K31" i="13"/>
  <c r="J31" i="13"/>
  <c r="E27" i="14"/>
  <c r="D27" i="14"/>
  <c r="E31" i="13"/>
  <c r="G31" i="13" s="1"/>
  <c r="D31" i="13"/>
  <c r="T30" i="13"/>
  <c r="A33" i="23"/>
  <c r="L33" i="23" s="1"/>
  <c r="N33" i="23" s="1"/>
  <c r="O33" i="23" s="1"/>
  <c r="S33" i="23"/>
  <c r="I32" i="23"/>
  <c r="I26" i="14"/>
  <c r="S25" i="14"/>
  <c r="G26" i="14"/>
  <c r="H26" i="14"/>
  <c r="N26" i="14" s="1"/>
  <c r="F26" i="14"/>
  <c r="B28" i="14"/>
  <c r="C33" i="13" l="1"/>
  <c r="F45" i="23"/>
  <c r="O31" i="13"/>
  <c r="H31" i="13"/>
  <c r="F31" i="13"/>
  <c r="I30" i="13"/>
  <c r="B47" i="23"/>
  <c r="C47" i="23" s="1"/>
  <c r="M46" i="23"/>
  <c r="K46" i="23"/>
  <c r="J46" i="23"/>
  <c r="D46" i="23"/>
  <c r="E46" i="23"/>
  <c r="G46" i="23" s="1"/>
  <c r="H45" i="23"/>
  <c r="P30" i="13"/>
  <c r="M32" i="13"/>
  <c r="N32" i="13"/>
  <c r="K32" i="13"/>
  <c r="J32" i="13"/>
  <c r="L32" i="13"/>
  <c r="E28" i="14"/>
  <c r="D28" i="14"/>
  <c r="D32" i="13"/>
  <c r="E32" i="13"/>
  <c r="G32" i="13" s="1"/>
  <c r="T31" i="13"/>
  <c r="A34" i="23"/>
  <c r="L34" i="23" s="1"/>
  <c r="N34" i="23" s="1"/>
  <c r="O34" i="23" s="1"/>
  <c r="I33" i="23"/>
  <c r="S34" i="23"/>
  <c r="I27" i="14"/>
  <c r="S26" i="14"/>
  <c r="H27" i="14"/>
  <c r="N27" i="14" s="1"/>
  <c r="F27" i="14"/>
  <c r="G27" i="14"/>
  <c r="B29" i="14"/>
  <c r="F46" i="23" l="1"/>
  <c r="C34" i="13"/>
  <c r="P31" i="13"/>
  <c r="O32" i="13"/>
  <c r="F32" i="13"/>
  <c r="I31" i="13"/>
  <c r="H32" i="13"/>
  <c r="H46" i="23"/>
  <c r="B48" i="23"/>
  <c r="C48" i="23" s="1"/>
  <c r="J47" i="23"/>
  <c r="K47" i="23"/>
  <c r="M47" i="23"/>
  <c r="E47" i="23"/>
  <c r="G47" i="23" s="1"/>
  <c r="D47" i="23"/>
  <c r="F47" i="23" s="1"/>
  <c r="M33" i="13"/>
  <c r="N33" i="13"/>
  <c r="L33" i="13"/>
  <c r="K33" i="13"/>
  <c r="J33" i="13"/>
  <c r="E29" i="14"/>
  <c r="D29" i="14"/>
  <c r="E33" i="13"/>
  <c r="G33" i="13" s="1"/>
  <c r="D33" i="13"/>
  <c r="T32" i="13"/>
  <c r="A35" i="23"/>
  <c r="L35" i="23" s="1"/>
  <c r="N35" i="23" s="1"/>
  <c r="O35" i="23" s="1"/>
  <c r="S35" i="23"/>
  <c r="I34" i="23"/>
  <c r="I28" i="14"/>
  <c r="S27" i="14"/>
  <c r="G28" i="14"/>
  <c r="F28" i="14"/>
  <c r="H28" i="14"/>
  <c r="N28" i="14" s="1"/>
  <c r="C35" i="13" l="1"/>
  <c r="H33" i="13"/>
  <c r="P32" i="13"/>
  <c r="O33" i="13"/>
  <c r="P33" i="13" s="1"/>
  <c r="F33" i="13"/>
  <c r="I32" i="13"/>
  <c r="H47" i="23"/>
  <c r="B49" i="23"/>
  <c r="C49" i="23" s="1"/>
  <c r="K48" i="23"/>
  <c r="J48" i="23"/>
  <c r="M48" i="23"/>
  <c r="E48" i="23"/>
  <c r="G48" i="23" s="1"/>
  <c r="D48" i="23"/>
  <c r="M34" i="13"/>
  <c r="N34" i="13"/>
  <c r="L34" i="13"/>
  <c r="K34" i="13"/>
  <c r="J34" i="13"/>
  <c r="E34" i="13"/>
  <c r="G34" i="13" s="1"/>
  <c r="D34" i="13"/>
  <c r="T33" i="13"/>
  <c r="A36" i="23"/>
  <c r="L36" i="23" s="1"/>
  <c r="N36" i="23" s="1"/>
  <c r="O36" i="23" s="1"/>
  <c r="S36" i="23"/>
  <c r="I35" i="23"/>
  <c r="I29" i="14"/>
  <c r="S28" i="14"/>
  <c r="G29" i="14"/>
  <c r="F29" i="14"/>
  <c r="H29" i="14"/>
  <c r="N29" i="14" s="1"/>
  <c r="C36" i="13" l="1"/>
  <c r="H34" i="13"/>
  <c r="H48" i="23"/>
  <c r="F34" i="13"/>
  <c r="I33" i="13"/>
  <c r="B50" i="23"/>
  <c r="C50" i="23" s="1"/>
  <c r="J49" i="23"/>
  <c r="M49" i="23"/>
  <c r="K49" i="23"/>
  <c r="E49" i="23"/>
  <c r="G49" i="23" s="1"/>
  <c r="D49" i="23"/>
  <c r="F48" i="23"/>
  <c r="O34" i="13"/>
  <c r="P34" i="13" s="1"/>
  <c r="L35" i="13"/>
  <c r="M35" i="13"/>
  <c r="N35" i="13"/>
  <c r="J35" i="13"/>
  <c r="K35" i="13"/>
  <c r="E35" i="13"/>
  <c r="G35" i="13" s="1"/>
  <c r="D35" i="13"/>
  <c r="H35" i="13" s="1"/>
  <c r="T34" i="13"/>
  <c r="A37" i="23"/>
  <c r="L37" i="23" s="1"/>
  <c r="N37" i="23" s="1"/>
  <c r="O37" i="23" s="1"/>
  <c r="I36" i="23"/>
  <c r="S37" i="23"/>
  <c r="C37" i="13" l="1"/>
  <c r="O35" i="13"/>
  <c r="P35" i="13" s="1"/>
  <c r="F35" i="13"/>
  <c r="I34" i="13"/>
  <c r="F49" i="23"/>
  <c r="H49" i="23"/>
  <c r="B51" i="23"/>
  <c r="C51" i="23" s="1"/>
  <c r="M50" i="23"/>
  <c r="J50" i="23"/>
  <c r="K50" i="23"/>
  <c r="E50" i="23"/>
  <c r="G50" i="23" s="1"/>
  <c r="D50" i="23"/>
  <c r="L36" i="13"/>
  <c r="M36" i="13"/>
  <c r="N36" i="13"/>
  <c r="J36" i="13"/>
  <c r="K36" i="13"/>
  <c r="E36" i="13"/>
  <c r="G36" i="13" s="1"/>
  <c r="D36" i="13"/>
  <c r="T35" i="13"/>
  <c r="A38" i="23"/>
  <c r="L38" i="23" s="1"/>
  <c r="N38" i="23" s="1"/>
  <c r="O38" i="23" s="1"/>
  <c r="I37" i="23"/>
  <c r="S38" i="23"/>
  <c r="C38" i="13" l="1"/>
  <c r="F50" i="23"/>
  <c r="H36" i="13"/>
  <c r="F36" i="13"/>
  <c r="I35" i="13"/>
  <c r="H50" i="23"/>
  <c r="B52" i="23"/>
  <c r="C52" i="23" s="1"/>
  <c r="M51" i="23"/>
  <c r="J51" i="23"/>
  <c r="K51" i="23"/>
  <c r="D51" i="23"/>
  <c r="F51" i="23" s="1"/>
  <c r="E51" i="23"/>
  <c r="G51" i="23" s="1"/>
  <c r="O36" i="13"/>
  <c r="L37" i="13"/>
  <c r="M37" i="13"/>
  <c r="J37" i="13"/>
  <c r="N37" i="13"/>
  <c r="K37" i="13"/>
  <c r="E37" i="13"/>
  <c r="G37" i="13" s="1"/>
  <c r="D37" i="13"/>
  <c r="T36" i="13"/>
  <c r="A39" i="23"/>
  <c r="L39" i="23" s="1"/>
  <c r="N39" i="23" s="1"/>
  <c r="O39" i="23" s="1"/>
  <c r="S39" i="23"/>
  <c r="I38" i="23"/>
  <c r="C39" i="13" l="1"/>
  <c r="H37" i="13"/>
  <c r="O37" i="13"/>
  <c r="P37" i="13" s="1"/>
  <c r="F37" i="13"/>
  <c r="I36" i="13"/>
  <c r="P36" i="13"/>
  <c r="B53" i="23"/>
  <c r="C53" i="23" s="1"/>
  <c r="J52" i="23"/>
  <c r="M52" i="23"/>
  <c r="K52" i="23"/>
  <c r="E52" i="23"/>
  <c r="G52" i="23" s="1"/>
  <c r="D52" i="23"/>
  <c r="F52" i="23" s="1"/>
  <c r="H51" i="23"/>
  <c r="K38" i="13"/>
  <c r="L38" i="13"/>
  <c r="M38" i="13"/>
  <c r="J38" i="13"/>
  <c r="N38" i="13"/>
  <c r="E38" i="13"/>
  <c r="G38" i="13" s="1"/>
  <c r="D38" i="13"/>
  <c r="H38" i="13" s="1"/>
  <c r="T37" i="13"/>
  <c r="S40" i="23"/>
  <c r="A40" i="23"/>
  <c r="L40" i="23" s="1"/>
  <c r="N40" i="23" s="1"/>
  <c r="O40" i="23" s="1"/>
  <c r="I39" i="23"/>
  <c r="C40" i="13" l="1"/>
  <c r="O38" i="13"/>
  <c r="P38" i="13" s="1"/>
  <c r="F38" i="13"/>
  <c r="I37" i="13"/>
  <c r="J53" i="23"/>
  <c r="M53" i="23"/>
  <c r="B54" i="23"/>
  <c r="C54" i="23" s="1"/>
  <c r="K53" i="23"/>
  <c r="E53" i="23"/>
  <c r="G53" i="23" s="1"/>
  <c r="D53" i="23"/>
  <c r="H52" i="23"/>
  <c r="N39" i="13"/>
  <c r="J39" i="13"/>
  <c r="M39" i="13"/>
  <c r="K39" i="13"/>
  <c r="L39" i="13"/>
  <c r="E39" i="13"/>
  <c r="G39" i="13" s="1"/>
  <c r="D39" i="13"/>
  <c r="T18" i="23"/>
  <c r="T22" i="23"/>
  <c r="T23" i="23"/>
  <c r="T25" i="23"/>
  <c r="T37" i="23"/>
  <c r="T38" i="23"/>
  <c r="T39" i="23"/>
  <c r="T38" i="13"/>
  <c r="A41" i="23"/>
  <c r="L41" i="23" s="1"/>
  <c r="N41" i="23" s="1"/>
  <c r="O41" i="23" s="1"/>
  <c r="S41" i="23"/>
  <c r="I40" i="23"/>
  <c r="N3" i="15"/>
  <c r="G8" i="15"/>
  <c r="H39" i="13" l="1"/>
  <c r="C41" i="13"/>
  <c r="H53" i="23"/>
  <c r="O39" i="13"/>
  <c r="F39" i="13"/>
  <c r="I38" i="13"/>
  <c r="K54" i="23"/>
  <c r="B55" i="23"/>
  <c r="C55" i="23" s="1"/>
  <c r="M54" i="23"/>
  <c r="J54" i="23"/>
  <c r="D54" i="23"/>
  <c r="E54" i="23"/>
  <c r="G54" i="23" s="1"/>
  <c r="F53" i="23"/>
  <c r="N40" i="13"/>
  <c r="L40" i="13"/>
  <c r="K40" i="13"/>
  <c r="M40" i="13"/>
  <c r="J40" i="13"/>
  <c r="T29" i="23"/>
  <c r="T21" i="23"/>
  <c r="T33" i="23"/>
  <c r="T31" i="23"/>
  <c r="T30" i="23"/>
  <c r="T32" i="23"/>
  <c r="T24" i="23"/>
  <c r="D40" i="13"/>
  <c r="E40" i="13"/>
  <c r="G40" i="13" s="1"/>
  <c r="T20" i="23"/>
  <c r="T35" i="23"/>
  <c r="T27" i="23"/>
  <c r="T34" i="23"/>
  <c r="T26" i="23"/>
  <c r="T36" i="23"/>
  <c r="T28" i="23"/>
  <c r="T19" i="23"/>
  <c r="T39" i="13"/>
  <c r="T40" i="23"/>
  <c r="A42" i="23"/>
  <c r="L42" i="23" s="1"/>
  <c r="N42" i="23" s="1"/>
  <c r="O42" i="23" s="1"/>
  <c r="S42" i="23"/>
  <c r="I41" i="23"/>
  <c r="U35" i="13"/>
  <c r="S17" i="1"/>
  <c r="U20" i="13"/>
  <c r="U31" i="13"/>
  <c r="U22" i="13"/>
  <c r="U27" i="13"/>
  <c r="U24" i="13"/>
  <c r="U23" i="13"/>
  <c r="U28" i="13"/>
  <c r="U33" i="13"/>
  <c r="U19" i="13"/>
  <c r="U26" i="13"/>
  <c r="U18" i="13"/>
  <c r="U25" i="13"/>
  <c r="U34" i="13"/>
  <c r="U32" i="13"/>
  <c r="U30" i="13"/>
  <c r="U21" i="13"/>
  <c r="U29" i="13"/>
  <c r="S29" i="14"/>
  <c r="S18" i="14"/>
  <c r="P39" i="13" l="1"/>
  <c r="C42" i="13"/>
  <c r="H54" i="23"/>
  <c r="H40" i="13"/>
  <c r="F40" i="13"/>
  <c r="I39" i="13"/>
  <c r="B56" i="23"/>
  <c r="C56" i="23" s="1"/>
  <c r="J55" i="23"/>
  <c r="M55" i="23"/>
  <c r="K55" i="23"/>
  <c r="D55" i="23"/>
  <c r="E55" i="23"/>
  <c r="G55" i="23" s="1"/>
  <c r="F54" i="23"/>
  <c r="O40" i="13"/>
  <c r="N41" i="13"/>
  <c r="K41" i="13"/>
  <c r="L41" i="13"/>
  <c r="M41" i="13"/>
  <c r="J41" i="13"/>
  <c r="E41" i="13"/>
  <c r="G41" i="13" s="1"/>
  <c r="D41" i="13"/>
  <c r="T40" i="13"/>
  <c r="T17" i="23"/>
  <c r="T41" i="23"/>
  <c r="I42" i="23"/>
  <c r="A43" i="23"/>
  <c r="L43" i="23" s="1"/>
  <c r="N43" i="23" s="1"/>
  <c r="O43" i="23" s="1"/>
  <c r="S17" i="14"/>
  <c r="F6" i="14" s="1"/>
  <c r="U36" i="13"/>
  <c r="U17" i="13"/>
  <c r="U37" i="13"/>
  <c r="S18" i="1"/>
  <c r="C43" i="13" l="1"/>
  <c r="F41" i="13"/>
  <c r="I40" i="13"/>
  <c r="H41" i="13"/>
  <c r="H55" i="23"/>
  <c r="F55" i="23"/>
  <c r="B57" i="23"/>
  <c r="C57" i="23" s="1"/>
  <c r="J56" i="23"/>
  <c r="K56" i="23"/>
  <c r="M56" i="23"/>
  <c r="D56" i="23"/>
  <c r="E56" i="23"/>
  <c r="G56" i="23" s="1"/>
  <c r="O41" i="13"/>
  <c r="P40" i="13"/>
  <c r="N42" i="13"/>
  <c r="M42" i="13"/>
  <c r="K42" i="13"/>
  <c r="J42" i="13"/>
  <c r="L42" i="13"/>
  <c r="E42" i="13"/>
  <c r="G42" i="13" s="1"/>
  <c r="D42" i="13"/>
  <c r="S43" i="23"/>
  <c r="T41" i="13"/>
  <c r="T42" i="23"/>
  <c r="A44" i="23"/>
  <c r="L44" i="23" s="1"/>
  <c r="N44" i="23" s="1"/>
  <c r="O44" i="23" s="1"/>
  <c r="I43" i="23"/>
  <c r="S44" i="23"/>
  <c r="U38" i="13"/>
  <c r="C44" i="13" l="1"/>
  <c r="H42" i="13"/>
  <c r="O42" i="13"/>
  <c r="F42" i="13"/>
  <c r="I41" i="13"/>
  <c r="B58" i="23"/>
  <c r="C58" i="23" s="1"/>
  <c r="M57" i="23"/>
  <c r="J57" i="23"/>
  <c r="K57" i="23"/>
  <c r="E57" i="23"/>
  <c r="G57" i="23" s="1"/>
  <c r="D57" i="23"/>
  <c r="H56" i="23"/>
  <c r="F56" i="23"/>
  <c r="P41" i="13"/>
  <c r="M43" i="13"/>
  <c r="N43" i="13"/>
  <c r="L43" i="13"/>
  <c r="J43" i="13"/>
  <c r="K43" i="13"/>
  <c r="E43" i="13"/>
  <c r="G43" i="13" s="1"/>
  <c r="D43" i="13"/>
  <c r="T43" i="23"/>
  <c r="T42" i="13"/>
  <c r="A45" i="23"/>
  <c r="L45" i="23" s="1"/>
  <c r="N45" i="23" s="1"/>
  <c r="O45" i="23" s="1"/>
  <c r="I44" i="23"/>
  <c r="L73" i="9"/>
  <c r="U39" i="13"/>
  <c r="S19" i="1"/>
  <c r="P42" i="13" l="1"/>
  <c r="H43" i="13"/>
  <c r="C45" i="13"/>
  <c r="F43" i="13"/>
  <c r="I42" i="13"/>
  <c r="F57" i="23"/>
  <c r="K58" i="23"/>
  <c r="B59" i="23"/>
  <c r="C59" i="23" s="1"/>
  <c r="M58" i="23"/>
  <c r="J58" i="23"/>
  <c r="E58" i="23"/>
  <c r="G58" i="23" s="1"/>
  <c r="D58" i="23"/>
  <c r="H57" i="23"/>
  <c r="O43" i="13"/>
  <c r="P43" i="13" s="1"/>
  <c r="M44" i="13"/>
  <c r="N44" i="13"/>
  <c r="L44" i="13"/>
  <c r="J44" i="13"/>
  <c r="K44" i="13"/>
  <c r="E44" i="13"/>
  <c r="G44" i="13" s="1"/>
  <c r="D44" i="13"/>
  <c r="H44" i="13" s="1"/>
  <c r="S45" i="23"/>
  <c r="T44" i="23"/>
  <c r="T43" i="13"/>
  <c r="A46" i="23"/>
  <c r="L46" i="23" s="1"/>
  <c r="N46" i="23" s="1"/>
  <c r="O46" i="23" s="1"/>
  <c r="S46" i="23"/>
  <c r="I45" i="23"/>
  <c r="U40" i="13"/>
  <c r="S20" i="1"/>
  <c r="C46" i="13" l="1"/>
  <c r="F44" i="13"/>
  <c r="I43" i="13"/>
  <c r="H58" i="23"/>
  <c r="M59" i="23"/>
  <c r="J59" i="23"/>
  <c r="B60" i="23"/>
  <c r="C60" i="23" s="1"/>
  <c r="K59" i="23"/>
  <c r="D59" i="23"/>
  <c r="E59" i="23"/>
  <c r="G59" i="23" s="1"/>
  <c r="F58" i="23"/>
  <c r="O44" i="13"/>
  <c r="M45" i="13"/>
  <c r="N45" i="13"/>
  <c r="L45" i="13"/>
  <c r="K45" i="13"/>
  <c r="J45" i="13"/>
  <c r="E45" i="13"/>
  <c r="G45" i="13" s="1"/>
  <c r="D45" i="13"/>
  <c r="T44" i="13"/>
  <c r="T45" i="23"/>
  <c r="I46" i="23"/>
  <c r="S47" i="23"/>
  <c r="A47" i="23"/>
  <c r="L47" i="23" s="1"/>
  <c r="N47" i="23" s="1"/>
  <c r="O47" i="23" s="1"/>
  <c r="U41" i="13"/>
  <c r="S21" i="1"/>
  <c r="C47" i="13" l="1"/>
  <c r="F45" i="13"/>
  <c r="I44" i="13"/>
  <c r="H45" i="13"/>
  <c r="F59" i="23"/>
  <c r="B61" i="23"/>
  <c r="C61" i="23" s="1"/>
  <c r="M60" i="23"/>
  <c r="K60" i="23"/>
  <c r="J60" i="23"/>
  <c r="E60" i="23"/>
  <c r="G60" i="23" s="1"/>
  <c r="D60" i="23"/>
  <c r="H59" i="23"/>
  <c r="P44" i="13"/>
  <c r="O45" i="13"/>
  <c r="M46" i="13"/>
  <c r="N46" i="13"/>
  <c r="K46" i="13"/>
  <c r="L46" i="13"/>
  <c r="J46" i="13"/>
  <c r="E46" i="13"/>
  <c r="G46" i="13" s="1"/>
  <c r="D46" i="13"/>
  <c r="T45" i="13"/>
  <c r="T46" i="23"/>
  <c r="A48" i="23"/>
  <c r="L48" i="23" s="1"/>
  <c r="N48" i="23" s="1"/>
  <c r="O48" i="23" s="1"/>
  <c r="S48" i="23"/>
  <c r="I47" i="23"/>
  <c r="U42" i="13"/>
  <c r="S22" i="1"/>
  <c r="H46" i="13" l="1"/>
  <c r="C48" i="13"/>
  <c r="H60" i="23"/>
  <c r="P45" i="13"/>
  <c r="F46" i="13"/>
  <c r="I45" i="13"/>
  <c r="F60" i="23"/>
  <c r="B62" i="23"/>
  <c r="C62" i="23" s="1"/>
  <c r="J61" i="23"/>
  <c r="M61" i="23"/>
  <c r="K61" i="23"/>
  <c r="E61" i="23"/>
  <c r="G61" i="23" s="1"/>
  <c r="D61" i="23"/>
  <c r="O46" i="13"/>
  <c r="P46" i="13" s="1"/>
  <c r="L47" i="13"/>
  <c r="M47" i="13"/>
  <c r="N47" i="13"/>
  <c r="K47" i="13"/>
  <c r="J47" i="13"/>
  <c r="E47" i="13"/>
  <c r="G47" i="13" s="1"/>
  <c r="D47" i="13"/>
  <c r="T46" i="13"/>
  <c r="T47" i="23"/>
  <c r="T48" i="23"/>
  <c r="S49" i="23"/>
  <c r="A49" i="23"/>
  <c r="L49" i="23" s="1"/>
  <c r="N49" i="23" s="1"/>
  <c r="O49" i="23" s="1"/>
  <c r="U43" i="13"/>
  <c r="S23" i="1"/>
  <c r="C49" i="13" l="1"/>
  <c r="F61" i="23"/>
  <c r="H47" i="13"/>
  <c r="O47" i="13"/>
  <c r="F47" i="13"/>
  <c r="I46" i="13"/>
  <c r="H61" i="23"/>
  <c r="B63" i="23"/>
  <c r="C63" i="23" s="1"/>
  <c r="J62" i="23"/>
  <c r="M62" i="23"/>
  <c r="K62" i="23"/>
  <c r="E62" i="23"/>
  <c r="G62" i="23" s="1"/>
  <c r="D62" i="23"/>
  <c r="F62" i="23" s="1"/>
  <c r="L48" i="13"/>
  <c r="M48" i="13"/>
  <c r="K48" i="13"/>
  <c r="N48" i="13"/>
  <c r="J48" i="13"/>
  <c r="D48" i="13"/>
  <c r="E48" i="13"/>
  <c r="G48" i="13" s="1"/>
  <c r="T47" i="13"/>
  <c r="I48" i="23"/>
  <c r="A50" i="23"/>
  <c r="L50" i="23" s="1"/>
  <c r="N50" i="23" s="1"/>
  <c r="O50" i="23" s="1"/>
  <c r="S50" i="23"/>
  <c r="U44" i="13"/>
  <c r="S24" i="1"/>
  <c r="P47" i="13" l="1"/>
  <c r="C50" i="13"/>
  <c r="F48" i="13"/>
  <c r="I47" i="13"/>
  <c r="H48" i="13"/>
  <c r="K63" i="23"/>
  <c r="B64" i="23"/>
  <c r="C64" i="23" s="1"/>
  <c r="M63" i="23"/>
  <c r="J63" i="23"/>
  <c r="D63" i="23"/>
  <c r="F63" i="23" s="1"/>
  <c r="E63" i="23"/>
  <c r="G63" i="23" s="1"/>
  <c r="H62" i="23"/>
  <c r="O48" i="13"/>
  <c r="L49" i="13"/>
  <c r="M49" i="13"/>
  <c r="K49" i="13"/>
  <c r="N49" i="13"/>
  <c r="J49" i="13"/>
  <c r="E49" i="13"/>
  <c r="G49" i="13" s="1"/>
  <c r="D49" i="13"/>
  <c r="H49" i="13" s="1"/>
  <c r="T48" i="13"/>
  <c r="I49" i="23"/>
  <c r="I50" i="23"/>
  <c r="A51" i="23"/>
  <c r="L51" i="23" s="1"/>
  <c r="N51" i="23" s="1"/>
  <c r="O51" i="23" s="1"/>
  <c r="T49" i="23"/>
  <c r="S51" i="23"/>
  <c r="U45" i="13"/>
  <c r="S25" i="1"/>
  <c r="C51" i="13" l="1"/>
  <c r="P48" i="13"/>
  <c r="F49" i="13"/>
  <c r="I48" i="13"/>
  <c r="M64" i="23"/>
  <c r="K64" i="23"/>
  <c r="J64" i="23"/>
  <c r="B65" i="23"/>
  <c r="C65" i="23" s="1"/>
  <c r="D64" i="23"/>
  <c r="F64" i="23" s="1"/>
  <c r="E64" i="23"/>
  <c r="G64" i="23" s="1"/>
  <c r="H63" i="23"/>
  <c r="O49" i="13"/>
  <c r="P49" i="13" s="1"/>
  <c r="N50" i="13"/>
  <c r="L50" i="13"/>
  <c r="K50" i="13"/>
  <c r="J50" i="13"/>
  <c r="M50" i="13"/>
  <c r="E50" i="13"/>
  <c r="G50" i="13" s="1"/>
  <c r="D50" i="13"/>
  <c r="T49" i="13"/>
  <c r="T50" i="23"/>
  <c r="S52" i="23"/>
  <c r="A52" i="23"/>
  <c r="L52" i="23" s="1"/>
  <c r="N52" i="23" s="1"/>
  <c r="O52" i="23" s="1"/>
  <c r="I51" i="23"/>
  <c r="U46" i="13"/>
  <c r="S26" i="1"/>
  <c r="C52" i="13" l="1"/>
  <c r="O50" i="13"/>
  <c r="F50" i="13"/>
  <c r="I49" i="13"/>
  <c r="H50" i="13"/>
  <c r="B66" i="23"/>
  <c r="C66" i="23" s="1"/>
  <c r="M65" i="23"/>
  <c r="J65" i="23"/>
  <c r="K65" i="23"/>
  <c r="E65" i="23"/>
  <c r="G65" i="23" s="1"/>
  <c r="D65" i="23"/>
  <c r="F65" i="23" s="1"/>
  <c r="H64" i="23"/>
  <c r="N51" i="13"/>
  <c r="J51" i="13"/>
  <c r="K51" i="13"/>
  <c r="L51" i="13"/>
  <c r="M51" i="13"/>
  <c r="E51" i="13"/>
  <c r="G51" i="13" s="1"/>
  <c r="D51" i="13"/>
  <c r="T51" i="23"/>
  <c r="T50" i="13"/>
  <c r="A53" i="23"/>
  <c r="L53" i="23" s="1"/>
  <c r="N53" i="23" s="1"/>
  <c r="O53" i="23" s="1"/>
  <c r="S53" i="23"/>
  <c r="I52" i="23"/>
  <c r="U47" i="13"/>
  <c r="S27" i="1"/>
  <c r="C53" i="13" l="1"/>
  <c r="H51" i="13"/>
  <c r="P50" i="13"/>
  <c r="F51" i="13"/>
  <c r="I50" i="13"/>
  <c r="H65" i="23"/>
  <c r="B67" i="23"/>
  <c r="C67" i="23" s="1"/>
  <c r="M66" i="23"/>
  <c r="J66" i="23"/>
  <c r="K66" i="23"/>
  <c r="E66" i="23"/>
  <c r="G66" i="23" s="1"/>
  <c r="D66" i="23"/>
  <c r="F66" i="23" s="1"/>
  <c r="O51" i="13"/>
  <c r="P51" i="13" s="1"/>
  <c r="N52" i="13"/>
  <c r="L52" i="13"/>
  <c r="M52" i="13"/>
  <c r="K52" i="13"/>
  <c r="J52" i="13"/>
  <c r="E52" i="13"/>
  <c r="G52" i="13" s="1"/>
  <c r="D52" i="13"/>
  <c r="T51" i="13"/>
  <c r="A54" i="23"/>
  <c r="L54" i="23" s="1"/>
  <c r="N54" i="23" s="1"/>
  <c r="O54" i="23" s="1"/>
  <c r="T52" i="23"/>
  <c r="I53" i="23"/>
  <c r="S54" i="23"/>
  <c r="U48" i="13"/>
  <c r="S28" i="1"/>
  <c r="C54" i="13" l="1"/>
  <c r="F52" i="13"/>
  <c r="I51" i="13"/>
  <c r="H52" i="13"/>
  <c r="H66" i="23"/>
  <c r="M67" i="23"/>
  <c r="B68" i="23"/>
  <c r="C68" i="23" s="1"/>
  <c r="K67" i="23"/>
  <c r="J67" i="23"/>
  <c r="E67" i="23"/>
  <c r="G67" i="23" s="1"/>
  <c r="D67" i="23"/>
  <c r="O52" i="13"/>
  <c r="N53" i="13"/>
  <c r="L53" i="13"/>
  <c r="K53" i="13"/>
  <c r="J53" i="13"/>
  <c r="M53" i="13"/>
  <c r="E53" i="13"/>
  <c r="G53" i="13" s="1"/>
  <c r="D53" i="13"/>
  <c r="T52" i="13"/>
  <c r="T53" i="23"/>
  <c r="A55" i="23"/>
  <c r="L55" i="23" s="1"/>
  <c r="N55" i="23" s="1"/>
  <c r="O55" i="23" s="1"/>
  <c r="I54" i="23"/>
  <c r="S55" i="23"/>
  <c r="U49" i="13"/>
  <c r="S29" i="1"/>
  <c r="C55" i="13" l="1"/>
  <c r="P52" i="13"/>
  <c r="F53" i="13"/>
  <c r="I52" i="13"/>
  <c r="H53" i="13"/>
  <c r="H67" i="23"/>
  <c r="M68" i="23"/>
  <c r="B69" i="23"/>
  <c r="C69" i="23" s="1"/>
  <c r="K68" i="23"/>
  <c r="J68" i="23"/>
  <c r="D68" i="23"/>
  <c r="E68" i="23"/>
  <c r="G68" i="23" s="1"/>
  <c r="F67" i="23"/>
  <c r="O53" i="13"/>
  <c r="N54" i="13"/>
  <c r="M54" i="13"/>
  <c r="L54" i="13"/>
  <c r="J54" i="13"/>
  <c r="K54" i="13"/>
  <c r="E54" i="13"/>
  <c r="G54" i="13" s="1"/>
  <c r="D54" i="13"/>
  <c r="H54" i="13" s="1"/>
  <c r="T53" i="13"/>
  <c r="T54" i="23"/>
  <c r="S56" i="23"/>
  <c r="A56" i="23"/>
  <c r="L56" i="23" s="1"/>
  <c r="N56" i="23" s="1"/>
  <c r="O56" i="23" s="1"/>
  <c r="I55" i="23"/>
  <c r="U50" i="13"/>
  <c r="S30" i="1"/>
  <c r="C56" i="13" l="1"/>
  <c r="P53" i="13"/>
  <c r="O54" i="13"/>
  <c r="P54" i="13" s="1"/>
  <c r="F54" i="13"/>
  <c r="I53" i="13"/>
  <c r="H68" i="23"/>
  <c r="F68" i="23"/>
  <c r="J69" i="23"/>
  <c r="B70" i="23"/>
  <c r="C70" i="23" s="1"/>
  <c r="M69" i="23"/>
  <c r="K69" i="23"/>
  <c r="D69" i="23"/>
  <c r="E69" i="23"/>
  <c r="G69" i="23" s="1"/>
  <c r="M55" i="13"/>
  <c r="N55" i="13"/>
  <c r="L55" i="13"/>
  <c r="J55" i="13"/>
  <c r="K55" i="13"/>
  <c r="E55" i="13"/>
  <c r="G55" i="13" s="1"/>
  <c r="D55" i="13"/>
  <c r="T54" i="13"/>
  <c r="T55" i="23"/>
  <c r="A57" i="23"/>
  <c r="L57" i="23" s="1"/>
  <c r="N57" i="23" s="1"/>
  <c r="O57" i="23" s="1"/>
  <c r="I56" i="23"/>
  <c r="S57" i="23"/>
  <c r="U51" i="13"/>
  <c r="S31" i="1"/>
  <c r="C57" i="13" l="1"/>
  <c r="H69" i="23"/>
  <c r="O55" i="13"/>
  <c r="H55" i="13"/>
  <c r="F55" i="13"/>
  <c r="I54" i="13"/>
  <c r="F69" i="23"/>
  <c r="M70" i="23"/>
  <c r="B71" i="23"/>
  <c r="C71" i="23" s="1"/>
  <c r="K70" i="23"/>
  <c r="J70" i="23"/>
  <c r="E70" i="23"/>
  <c r="G70" i="23" s="1"/>
  <c r="D70" i="23"/>
  <c r="M56" i="13"/>
  <c r="N56" i="13"/>
  <c r="L56" i="13"/>
  <c r="J56" i="13"/>
  <c r="K56" i="13"/>
  <c r="E56" i="13"/>
  <c r="G56" i="13" s="1"/>
  <c r="D56" i="13"/>
  <c r="T56" i="23"/>
  <c r="T55" i="13"/>
  <c r="S58" i="23"/>
  <c r="I57" i="23"/>
  <c r="A58" i="23"/>
  <c r="L58" i="23" s="1"/>
  <c r="N58" i="23" s="1"/>
  <c r="O58" i="23" s="1"/>
  <c r="U52" i="13"/>
  <c r="S32" i="1"/>
  <c r="C58" i="13" l="1"/>
  <c r="H70" i="23"/>
  <c r="P55" i="13"/>
  <c r="O56" i="13"/>
  <c r="H56" i="13"/>
  <c r="F56" i="13"/>
  <c r="I55" i="13"/>
  <c r="F70" i="23"/>
  <c r="J71" i="23"/>
  <c r="B72" i="23"/>
  <c r="C72" i="23" s="1"/>
  <c r="M71" i="23"/>
  <c r="K71" i="23"/>
  <c r="E71" i="23"/>
  <c r="G71" i="23" s="1"/>
  <c r="D71" i="23"/>
  <c r="M57" i="13"/>
  <c r="N57" i="13"/>
  <c r="L57" i="13"/>
  <c r="J57" i="13"/>
  <c r="K57" i="13"/>
  <c r="E57" i="13"/>
  <c r="G57" i="13" s="1"/>
  <c r="D57" i="13"/>
  <c r="T56" i="13"/>
  <c r="T57" i="23"/>
  <c r="A59" i="23"/>
  <c r="L59" i="23" s="1"/>
  <c r="N59" i="23" s="1"/>
  <c r="O59" i="23" s="1"/>
  <c r="I58" i="23"/>
  <c r="U53" i="13"/>
  <c r="S33" i="1"/>
  <c r="C59" i="13" l="1"/>
  <c r="H57" i="13"/>
  <c r="F71" i="23"/>
  <c r="P56" i="13"/>
  <c r="F57" i="13"/>
  <c r="I56" i="13"/>
  <c r="H71" i="23"/>
  <c r="J72" i="23"/>
  <c r="B73" i="23"/>
  <c r="C73" i="23" s="1"/>
  <c r="M72" i="23"/>
  <c r="K72" i="23"/>
  <c r="E72" i="23"/>
  <c r="G72" i="23" s="1"/>
  <c r="D72" i="23"/>
  <c r="O57" i="13"/>
  <c r="P57" i="13" s="1"/>
  <c r="M58" i="13"/>
  <c r="N58" i="13"/>
  <c r="L58" i="13"/>
  <c r="J58" i="13"/>
  <c r="K58" i="13"/>
  <c r="E58" i="13"/>
  <c r="G58" i="13" s="1"/>
  <c r="D58" i="13"/>
  <c r="T57" i="13"/>
  <c r="S59" i="23"/>
  <c r="T58" i="23"/>
  <c r="A60" i="23"/>
  <c r="L60" i="23" s="1"/>
  <c r="N60" i="23" s="1"/>
  <c r="O60" i="23" s="1"/>
  <c r="I59" i="23"/>
  <c r="U54" i="13"/>
  <c r="S34" i="1"/>
  <c r="C60" i="13" l="1"/>
  <c r="H58" i="13"/>
  <c r="F58" i="13"/>
  <c r="I57" i="13"/>
  <c r="H72" i="23"/>
  <c r="K73" i="23"/>
  <c r="B74" i="23"/>
  <c r="C74" i="23" s="1"/>
  <c r="M73" i="23"/>
  <c r="J73" i="23"/>
  <c r="E73" i="23"/>
  <c r="G73" i="23" s="1"/>
  <c r="D73" i="23"/>
  <c r="F72" i="23"/>
  <c r="O58" i="13"/>
  <c r="P58" i="13" s="1"/>
  <c r="L59" i="13"/>
  <c r="M59" i="13"/>
  <c r="N59" i="13"/>
  <c r="J59" i="13"/>
  <c r="K59" i="13"/>
  <c r="E59" i="13"/>
  <c r="G59" i="13" s="1"/>
  <c r="D59" i="13"/>
  <c r="T59" i="23"/>
  <c r="T58" i="13"/>
  <c r="S60" i="23"/>
  <c r="I60" i="23"/>
  <c r="S61" i="23"/>
  <c r="A61" i="23"/>
  <c r="L61" i="23" s="1"/>
  <c r="N61" i="23" s="1"/>
  <c r="O61" i="23" s="1"/>
  <c r="U55" i="13"/>
  <c r="S35" i="1"/>
  <c r="C61" i="13" l="1"/>
  <c r="F73" i="23"/>
  <c r="O59" i="13"/>
  <c r="F59" i="13"/>
  <c r="I58" i="13"/>
  <c r="H59" i="13"/>
  <c r="H73" i="23"/>
  <c r="B75" i="23"/>
  <c r="C75" i="23" s="1"/>
  <c r="M74" i="23"/>
  <c r="K74" i="23"/>
  <c r="J74" i="23"/>
  <c r="A74" i="23"/>
  <c r="L74" i="23" s="1"/>
  <c r="D74" i="23"/>
  <c r="E74" i="23"/>
  <c r="G74" i="23" s="1"/>
  <c r="M60" i="13"/>
  <c r="N60" i="13"/>
  <c r="L60" i="13"/>
  <c r="J60" i="13"/>
  <c r="K60" i="13"/>
  <c r="E60" i="13"/>
  <c r="G60" i="13" s="1"/>
  <c r="D60" i="13"/>
  <c r="T59" i="13"/>
  <c r="A62" i="23"/>
  <c r="L62" i="23" s="1"/>
  <c r="N62" i="23" s="1"/>
  <c r="O62" i="23" s="1"/>
  <c r="I61" i="23"/>
  <c r="T60" i="23"/>
  <c r="U56" i="13"/>
  <c r="S36" i="1"/>
  <c r="C62" i="13" l="1"/>
  <c r="P59" i="13"/>
  <c r="O60" i="13"/>
  <c r="F60" i="13"/>
  <c r="I59" i="13"/>
  <c r="H60" i="13"/>
  <c r="H74" i="23"/>
  <c r="F74" i="23"/>
  <c r="B76" i="23"/>
  <c r="C76" i="23" s="1"/>
  <c r="M75" i="23"/>
  <c r="J75" i="23"/>
  <c r="K75" i="23"/>
  <c r="A75" i="23"/>
  <c r="L75" i="23" s="1"/>
  <c r="D75" i="23"/>
  <c r="E75" i="23"/>
  <c r="G75" i="23" s="1"/>
  <c r="N74" i="23"/>
  <c r="L61" i="13"/>
  <c r="M61" i="13"/>
  <c r="N61" i="13"/>
  <c r="K61" i="13"/>
  <c r="J61" i="13"/>
  <c r="E61" i="13"/>
  <c r="G61" i="13" s="1"/>
  <c r="D61" i="13"/>
  <c r="I62" i="23"/>
  <c r="T60" i="13"/>
  <c r="S62" i="23"/>
  <c r="A63" i="23"/>
  <c r="L63" i="23" s="1"/>
  <c r="N63" i="23" s="1"/>
  <c r="O63" i="23" s="1"/>
  <c r="T61" i="23"/>
  <c r="S63" i="23"/>
  <c r="U57" i="13"/>
  <c r="S37" i="1"/>
  <c r="H61" i="13" l="1"/>
  <c r="C63" i="13"/>
  <c r="P60" i="13"/>
  <c r="F61" i="13"/>
  <c r="I60" i="13"/>
  <c r="O74" i="23"/>
  <c r="J76" i="23"/>
  <c r="B77" i="23"/>
  <c r="C77" i="23" s="1"/>
  <c r="M76" i="23"/>
  <c r="K76" i="23"/>
  <c r="A76" i="23"/>
  <c r="L76" i="23" s="1"/>
  <c r="E76" i="23"/>
  <c r="G76" i="23" s="1"/>
  <c r="D76" i="23"/>
  <c r="F75" i="23"/>
  <c r="H75" i="23"/>
  <c r="N75" i="23"/>
  <c r="O61" i="13"/>
  <c r="P61" i="13" s="1"/>
  <c r="K62" i="13"/>
  <c r="N62" i="13"/>
  <c r="M62" i="13"/>
  <c r="L62" i="13"/>
  <c r="J62" i="13"/>
  <c r="E62" i="13"/>
  <c r="G62" i="13" s="1"/>
  <c r="D62" i="13"/>
  <c r="T61" i="13"/>
  <c r="T62" i="23"/>
  <c r="S64" i="23"/>
  <c r="A64" i="23"/>
  <c r="L64" i="23" s="1"/>
  <c r="N64" i="23" s="1"/>
  <c r="O64" i="23" s="1"/>
  <c r="I63" i="23"/>
  <c r="U58" i="13"/>
  <c r="S38" i="1"/>
  <c r="C64" i="13" l="1"/>
  <c r="H62" i="13"/>
  <c r="H76" i="23"/>
  <c r="F62" i="13"/>
  <c r="I61" i="13"/>
  <c r="O75" i="23"/>
  <c r="N76" i="23"/>
  <c r="O76" i="23" s="1"/>
  <c r="F76" i="23"/>
  <c r="M77" i="23"/>
  <c r="J77" i="23"/>
  <c r="K77" i="23"/>
  <c r="A77" i="23"/>
  <c r="L77" i="23" s="1"/>
  <c r="D77" i="23"/>
  <c r="E77" i="23"/>
  <c r="G77" i="23" s="1"/>
  <c r="O62" i="13"/>
  <c r="N63" i="13"/>
  <c r="J63" i="13"/>
  <c r="M63" i="13"/>
  <c r="L63" i="13"/>
  <c r="K63" i="13"/>
  <c r="E63" i="13"/>
  <c r="G63" i="13" s="1"/>
  <c r="D63" i="13"/>
  <c r="T62" i="13"/>
  <c r="T63" i="23"/>
  <c r="A65" i="23"/>
  <c r="L65" i="23" s="1"/>
  <c r="N65" i="23" s="1"/>
  <c r="O65" i="23" s="1"/>
  <c r="S65" i="23"/>
  <c r="I64" i="23"/>
  <c r="U59" i="13"/>
  <c r="S39" i="1"/>
  <c r="P62" i="13" l="1"/>
  <c r="C65" i="13"/>
  <c r="F63" i="13"/>
  <c r="I62" i="13"/>
  <c r="H63" i="13"/>
  <c r="N77" i="23"/>
  <c r="A78" i="23"/>
  <c r="H77" i="23"/>
  <c r="F77" i="23"/>
  <c r="O63" i="13"/>
  <c r="N64" i="13"/>
  <c r="L64" i="13"/>
  <c r="K64" i="13"/>
  <c r="J64" i="13"/>
  <c r="M64" i="13"/>
  <c r="D64" i="13"/>
  <c r="E64" i="13"/>
  <c r="G64" i="13" s="1"/>
  <c r="T63" i="13"/>
  <c r="T64" i="23"/>
  <c r="S66" i="23"/>
  <c r="I65" i="23"/>
  <c r="A66" i="23"/>
  <c r="L66" i="23" s="1"/>
  <c r="N66" i="23" s="1"/>
  <c r="O66" i="23" s="1"/>
  <c r="U60" i="13"/>
  <c r="S40" i="1"/>
  <c r="C66" i="13" l="1"/>
  <c r="O77" i="23"/>
  <c r="P63" i="13"/>
  <c r="H64" i="13"/>
  <c r="F64" i="13"/>
  <c r="I63" i="13"/>
  <c r="A79" i="23"/>
  <c r="O64" i="13"/>
  <c r="N65" i="13"/>
  <c r="M65" i="13"/>
  <c r="J65" i="13"/>
  <c r="K65" i="13"/>
  <c r="L65" i="13"/>
  <c r="E65" i="13"/>
  <c r="G65" i="13" s="1"/>
  <c r="D65" i="13"/>
  <c r="T64" i="13"/>
  <c r="T65" i="23"/>
  <c r="A67" i="23"/>
  <c r="L67" i="23" s="1"/>
  <c r="N67" i="23" s="1"/>
  <c r="O67" i="23" s="1"/>
  <c r="S67" i="23"/>
  <c r="I66" i="23"/>
  <c r="U61" i="13"/>
  <c r="S41" i="1"/>
  <c r="P64" i="13" l="1"/>
  <c r="C67" i="13"/>
  <c r="H65" i="13"/>
  <c r="F65" i="13"/>
  <c r="I64" i="13"/>
  <c r="A80" i="23"/>
  <c r="O65" i="13"/>
  <c r="N66" i="13"/>
  <c r="L66" i="13"/>
  <c r="J66" i="13"/>
  <c r="K66" i="13"/>
  <c r="M66" i="13"/>
  <c r="E66" i="13"/>
  <c r="G66" i="13" s="1"/>
  <c r="D66" i="13"/>
  <c r="T65" i="13"/>
  <c r="T66" i="23"/>
  <c r="I67" i="23"/>
  <c r="S68" i="23"/>
  <c r="A68" i="23"/>
  <c r="L68" i="23" s="1"/>
  <c r="N68" i="23" s="1"/>
  <c r="O68" i="23" s="1"/>
  <c r="U62" i="13"/>
  <c r="P65" i="13" l="1"/>
  <c r="C68" i="13"/>
  <c r="H66" i="13"/>
  <c r="F66" i="13"/>
  <c r="I65" i="13"/>
  <c r="A81" i="23"/>
  <c r="O66" i="13"/>
  <c r="M67" i="13"/>
  <c r="N67" i="13"/>
  <c r="L67" i="13"/>
  <c r="J67" i="13"/>
  <c r="K67" i="13"/>
  <c r="E67" i="13"/>
  <c r="G67" i="13" s="1"/>
  <c r="D67" i="13"/>
  <c r="S43" i="1"/>
  <c r="S55" i="1"/>
  <c r="S53" i="1"/>
  <c r="S44" i="1"/>
  <c r="S56" i="1"/>
  <c r="S65" i="1"/>
  <c r="S45" i="1"/>
  <c r="S57" i="1"/>
  <c r="S46" i="1"/>
  <c r="S58" i="1"/>
  <c r="S42" i="1"/>
  <c r="S47" i="1"/>
  <c r="S59" i="1"/>
  <c r="S64" i="1"/>
  <c r="S48" i="1"/>
  <c r="S60" i="1"/>
  <c r="S52" i="1"/>
  <c r="S49" i="1"/>
  <c r="S61" i="1"/>
  <c r="S50" i="1"/>
  <c r="S62" i="1"/>
  <c r="S51" i="1"/>
  <c r="S63" i="1"/>
  <c r="S54" i="1"/>
  <c r="T67" i="23"/>
  <c r="T66" i="13"/>
  <c r="I68" i="23"/>
  <c r="S69" i="23"/>
  <c r="A69" i="23"/>
  <c r="L69" i="23" s="1"/>
  <c r="N69" i="23" s="1"/>
  <c r="O69" i="23" s="1"/>
  <c r="S66" i="1"/>
  <c r="U63" i="13"/>
  <c r="P66" i="13" l="1"/>
  <c r="H67" i="13"/>
  <c r="C69" i="13"/>
  <c r="O67" i="13"/>
  <c r="P67" i="13" s="1"/>
  <c r="F67" i="13"/>
  <c r="I66" i="13"/>
  <c r="A82" i="23"/>
  <c r="C9" i="23"/>
  <c r="M68" i="13"/>
  <c r="N68" i="13"/>
  <c r="L68" i="13"/>
  <c r="K68" i="13"/>
  <c r="J68" i="13"/>
  <c r="E68" i="13"/>
  <c r="G68" i="13" s="1"/>
  <c r="D68" i="13"/>
  <c r="T67" i="13"/>
  <c r="T68" i="23"/>
  <c r="I69" i="23"/>
  <c r="S70" i="23"/>
  <c r="A70" i="23"/>
  <c r="L70" i="23" s="1"/>
  <c r="N70" i="23" s="1"/>
  <c r="O70" i="23" s="1"/>
  <c r="S67" i="1"/>
  <c r="U64" i="13"/>
  <c r="C70" i="13" l="1"/>
  <c r="H68" i="13"/>
  <c r="F68" i="13"/>
  <c r="I67" i="13"/>
  <c r="O68" i="13"/>
  <c r="M69" i="13"/>
  <c r="N69" i="13"/>
  <c r="L69" i="13"/>
  <c r="K69" i="13"/>
  <c r="J69" i="13"/>
  <c r="E69" i="13"/>
  <c r="G69" i="13" s="1"/>
  <c r="D69" i="13"/>
  <c r="T68" i="13"/>
  <c r="T69" i="23"/>
  <c r="I70" i="23"/>
  <c r="A71" i="23"/>
  <c r="L71" i="23" s="1"/>
  <c r="N71" i="23" s="1"/>
  <c r="O71" i="23" s="1"/>
  <c r="S71" i="23"/>
  <c r="S68" i="1"/>
  <c r="U65" i="13"/>
  <c r="H69" i="13" l="1"/>
  <c r="P68" i="13"/>
  <c r="C71" i="13"/>
  <c r="F69" i="13"/>
  <c r="I68" i="13"/>
  <c r="O69" i="13"/>
  <c r="M70" i="13"/>
  <c r="N70" i="13"/>
  <c r="L70" i="13"/>
  <c r="K70" i="13"/>
  <c r="J70" i="13"/>
  <c r="E70" i="13"/>
  <c r="G70" i="13" s="1"/>
  <c r="D70" i="13"/>
  <c r="T69" i="13"/>
  <c r="T70" i="23"/>
  <c r="A72" i="23"/>
  <c r="L72" i="23" s="1"/>
  <c r="N72" i="23" s="1"/>
  <c r="O72" i="23" s="1"/>
  <c r="S72" i="23"/>
  <c r="I71" i="23"/>
  <c r="S69" i="1"/>
  <c r="U66" i="13"/>
  <c r="C72" i="13" l="1"/>
  <c r="H70" i="13"/>
  <c r="F70" i="13"/>
  <c r="I69" i="13"/>
  <c r="P69" i="13"/>
  <c r="O70" i="13"/>
  <c r="L71" i="13"/>
  <c r="M71" i="13"/>
  <c r="N71" i="13"/>
  <c r="K71" i="13"/>
  <c r="J71" i="13"/>
  <c r="E71" i="13"/>
  <c r="G71" i="13" s="1"/>
  <c r="D71" i="13"/>
  <c r="T71" i="23"/>
  <c r="T70" i="13"/>
  <c r="A73" i="23"/>
  <c r="L73" i="23" s="1"/>
  <c r="N73" i="23" s="1"/>
  <c r="O73" i="23" s="1"/>
  <c r="I72" i="23"/>
  <c r="S70" i="1"/>
  <c r="U67" i="13"/>
  <c r="C10" i="23" l="1"/>
  <c r="C73" i="13"/>
  <c r="H71" i="13"/>
  <c r="F71" i="13"/>
  <c r="I70" i="13"/>
  <c r="P70" i="13"/>
  <c r="O71" i="13"/>
  <c r="P71" i="13" s="1"/>
  <c r="M72" i="13"/>
  <c r="N72" i="13"/>
  <c r="L72" i="13"/>
  <c r="J72" i="13"/>
  <c r="K72" i="13"/>
  <c r="E72" i="13"/>
  <c r="G72" i="13" s="1"/>
  <c r="D72" i="13"/>
  <c r="T72" i="23"/>
  <c r="S73" i="23"/>
  <c r="T71" i="13"/>
  <c r="S71" i="1"/>
  <c r="U68" i="13"/>
  <c r="C74" i="13" l="1"/>
  <c r="F72" i="13"/>
  <c r="I71" i="13"/>
  <c r="H72" i="13"/>
  <c r="O72" i="13"/>
  <c r="L73" i="13"/>
  <c r="M73" i="13"/>
  <c r="N73" i="13"/>
  <c r="J73" i="13"/>
  <c r="K73" i="13"/>
  <c r="E73" i="13"/>
  <c r="G73" i="13" s="1"/>
  <c r="D73" i="13"/>
  <c r="H73" i="13" s="1"/>
  <c r="I74" i="23"/>
  <c r="S74" i="23"/>
  <c r="T74" i="23" s="1"/>
  <c r="T73" i="23"/>
  <c r="T72" i="13"/>
  <c r="I73" i="23"/>
  <c r="S72" i="1"/>
  <c r="U69" i="13"/>
  <c r="C75" i="13" l="1"/>
  <c r="P72" i="13"/>
  <c r="F73" i="13"/>
  <c r="I72" i="13"/>
  <c r="O73" i="13"/>
  <c r="P73" i="13" s="1"/>
  <c r="K74" i="13"/>
  <c r="M74" i="13"/>
  <c r="L74" i="13"/>
  <c r="J74" i="13"/>
  <c r="N74" i="13"/>
  <c r="E74" i="13"/>
  <c r="G74" i="13" s="1"/>
  <c r="D74" i="13"/>
  <c r="H74" i="13" s="1"/>
  <c r="S75" i="23"/>
  <c r="T75" i="23" s="1"/>
  <c r="I75" i="23"/>
  <c r="T73" i="13"/>
  <c r="S73" i="1"/>
  <c r="U70" i="13"/>
  <c r="C76" i="13" l="1"/>
  <c r="O74" i="13"/>
  <c r="P74" i="13" s="1"/>
  <c r="F74" i="13"/>
  <c r="I73" i="13"/>
  <c r="N75" i="13"/>
  <c r="J75" i="13"/>
  <c r="L75" i="13"/>
  <c r="K75" i="13"/>
  <c r="M75" i="13"/>
  <c r="E75" i="13"/>
  <c r="G75" i="13" s="1"/>
  <c r="D75" i="13"/>
  <c r="I76" i="23"/>
  <c r="I77" i="23"/>
  <c r="S76" i="23"/>
  <c r="T76" i="23" s="1"/>
  <c r="T74" i="13"/>
  <c r="S74" i="1"/>
  <c r="U71" i="13"/>
  <c r="C77" i="13" l="1"/>
  <c r="H75" i="13"/>
  <c r="F75" i="13"/>
  <c r="I74" i="13"/>
  <c r="O75" i="13"/>
  <c r="N76" i="13"/>
  <c r="L76" i="13"/>
  <c r="K76" i="13"/>
  <c r="M76" i="13"/>
  <c r="J76" i="13"/>
  <c r="E76" i="13"/>
  <c r="G76" i="13" s="1"/>
  <c r="D76" i="13"/>
  <c r="S77" i="23"/>
  <c r="T77" i="23" s="1"/>
  <c r="T75" i="13"/>
  <c r="S75" i="1"/>
  <c r="U72" i="13"/>
  <c r="H76" i="13" l="1"/>
  <c r="C78" i="13"/>
  <c r="F76" i="13"/>
  <c r="I75" i="13"/>
  <c r="P75" i="13"/>
  <c r="O76" i="13"/>
  <c r="P76" i="13" s="1"/>
  <c r="N77" i="13"/>
  <c r="K77" i="13"/>
  <c r="J77" i="13"/>
  <c r="M77" i="13"/>
  <c r="L77" i="13"/>
  <c r="E77" i="13"/>
  <c r="G77" i="13" s="1"/>
  <c r="D77" i="13"/>
  <c r="T76" i="13"/>
  <c r="S76" i="1"/>
  <c r="U73" i="13"/>
  <c r="H77" i="13" l="1"/>
  <c r="C79" i="13"/>
  <c r="F77" i="13"/>
  <c r="I76" i="13"/>
  <c r="O77" i="13"/>
  <c r="N78" i="13"/>
  <c r="M78" i="13"/>
  <c r="K78" i="13"/>
  <c r="J78" i="13"/>
  <c r="L78" i="13"/>
  <c r="E78" i="13"/>
  <c r="G78" i="13" s="1"/>
  <c r="D78" i="13"/>
  <c r="T77" i="13"/>
  <c r="S77" i="1"/>
  <c r="U74" i="13"/>
  <c r="C80" i="13" l="1"/>
  <c r="H78" i="13"/>
  <c r="O78" i="13"/>
  <c r="P78" i="13" s="1"/>
  <c r="F78" i="13"/>
  <c r="I77" i="13"/>
  <c r="P77" i="13"/>
  <c r="M79" i="13"/>
  <c r="N79" i="13"/>
  <c r="K79" i="13"/>
  <c r="J79" i="13"/>
  <c r="L79" i="13"/>
  <c r="E79" i="13"/>
  <c r="G79" i="13" s="1"/>
  <c r="D79" i="13"/>
  <c r="T78" i="13"/>
  <c r="U75" i="13"/>
  <c r="H79" i="13" l="1"/>
  <c r="C81" i="13"/>
  <c r="F79" i="13"/>
  <c r="I78" i="13"/>
  <c r="O79" i="13"/>
  <c r="P79" i="13" s="1"/>
  <c r="M80" i="13"/>
  <c r="N80" i="13"/>
  <c r="K80" i="13"/>
  <c r="J80" i="13"/>
  <c r="L80" i="13"/>
  <c r="E80" i="13"/>
  <c r="G80" i="13" s="1"/>
  <c r="D80" i="13"/>
  <c r="T79" i="13"/>
  <c r="U76" i="13"/>
  <c r="H80" i="13" l="1"/>
  <c r="C82" i="13"/>
  <c r="F80" i="13"/>
  <c r="I79" i="13"/>
  <c r="O80" i="13"/>
  <c r="P80" i="13" s="1"/>
  <c r="M81" i="13"/>
  <c r="N81" i="13"/>
  <c r="L81" i="13"/>
  <c r="K81" i="13"/>
  <c r="J81" i="13"/>
  <c r="E81" i="13"/>
  <c r="G81" i="13" s="1"/>
  <c r="D81" i="13"/>
  <c r="T80" i="13"/>
  <c r="U77" i="13"/>
  <c r="C83" i="13" l="1"/>
  <c r="H81" i="13"/>
  <c r="F81" i="13"/>
  <c r="I80" i="13"/>
  <c r="O81" i="13"/>
  <c r="P81" i="13" s="1"/>
  <c r="M82" i="13"/>
  <c r="N82" i="13"/>
  <c r="K82" i="13"/>
  <c r="J82" i="13"/>
  <c r="L82" i="13"/>
  <c r="E82" i="13"/>
  <c r="G82" i="13" s="1"/>
  <c r="D82" i="13"/>
  <c r="T81" i="13"/>
  <c r="W3" i="23"/>
  <c r="V3" i="1"/>
  <c r="U78" i="13"/>
  <c r="F6" i="23"/>
  <c r="C84" i="13" l="1"/>
  <c r="H82" i="13"/>
  <c r="F82" i="13"/>
  <c r="I81" i="13"/>
  <c r="O82" i="13"/>
  <c r="L83" i="13"/>
  <c r="M83" i="13"/>
  <c r="N83" i="13"/>
  <c r="K83" i="13"/>
  <c r="J83" i="13"/>
  <c r="E83" i="13"/>
  <c r="G83" i="13" s="1"/>
  <c r="D83" i="13"/>
  <c r="L34" i="9"/>
  <c r="T82" i="13"/>
  <c r="U79" i="13"/>
  <c r="C85" i="13" l="1"/>
  <c r="H83" i="13"/>
  <c r="O83" i="13"/>
  <c r="F83" i="13"/>
  <c r="I82" i="13"/>
  <c r="P82" i="13"/>
  <c r="M84" i="13"/>
  <c r="L84" i="13"/>
  <c r="N84" i="13"/>
  <c r="J84" i="13"/>
  <c r="K84" i="13"/>
  <c r="E84" i="13"/>
  <c r="G84" i="13" s="1"/>
  <c r="D84" i="13"/>
  <c r="T83" i="13"/>
  <c r="U80" i="13"/>
  <c r="C86" i="13" l="1"/>
  <c r="P83" i="13"/>
  <c r="H84" i="13"/>
  <c r="F84" i="13"/>
  <c r="I83" i="13"/>
  <c r="O84" i="13"/>
  <c r="P84" i="13" s="1"/>
  <c r="L85" i="13"/>
  <c r="M85" i="13"/>
  <c r="N85" i="13"/>
  <c r="J85" i="13"/>
  <c r="K85" i="13"/>
  <c r="E85" i="13"/>
  <c r="G85" i="13" s="1"/>
  <c r="D85" i="13"/>
  <c r="T84" i="13"/>
  <c r="U81" i="13"/>
  <c r="C87" i="13" l="1"/>
  <c r="H85" i="13"/>
  <c r="F85" i="13"/>
  <c r="I84" i="13"/>
  <c r="O85" i="13"/>
  <c r="P85" i="13" s="1"/>
  <c r="K86" i="13"/>
  <c r="L86" i="13"/>
  <c r="M86" i="13"/>
  <c r="N86" i="13"/>
  <c r="J86" i="13"/>
  <c r="E86" i="13"/>
  <c r="G86" i="13" s="1"/>
  <c r="D86" i="13"/>
  <c r="H86" i="13" s="1"/>
  <c r="T85" i="13"/>
  <c r="U82" i="13"/>
  <c r="C88" i="13" l="1"/>
  <c r="F86" i="13"/>
  <c r="I85" i="13"/>
  <c r="O86" i="13"/>
  <c r="N87" i="13"/>
  <c r="M87" i="13"/>
  <c r="J87" i="13"/>
  <c r="L87" i="13"/>
  <c r="K87" i="13"/>
  <c r="E87" i="13"/>
  <c r="G87" i="13" s="1"/>
  <c r="D87" i="13"/>
  <c r="T86" i="13"/>
  <c r="U83" i="13"/>
  <c r="C89" i="13" l="1"/>
  <c r="H87" i="13"/>
  <c r="F87" i="13"/>
  <c r="I86" i="13"/>
  <c r="O87" i="13"/>
  <c r="P87" i="13" s="1"/>
  <c r="P86" i="13"/>
  <c r="N88" i="13"/>
  <c r="L88" i="13"/>
  <c r="K88" i="13"/>
  <c r="M88" i="13"/>
  <c r="J88" i="13"/>
  <c r="D88" i="13"/>
  <c r="E88" i="13"/>
  <c r="G88" i="13" s="1"/>
  <c r="T87" i="13"/>
  <c r="U84" i="13"/>
  <c r="C90" i="13" l="1"/>
  <c r="H88" i="13"/>
  <c r="F88" i="13"/>
  <c r="I87" i="13"/>
  <c r="O88" i="13"/>
  <c r="N89" i="13"/>
  <c r="M89" i="13"/>
  <c r="J89" i="13"/>
  <c r="L89" i="13"/>
  <c r="K89" i="13"/>
  <c r="E89" i="13"/>
  <c r="G89" i="13" s="1"/>
  <c r="D89" i="13"/>
  <c r="T88" i="13"/>
  <c r="U85" i="13"/>
  <c r="C91" i="13" l="1"/>
  <c r="H89" i="13"/>
  <c r="O89" i="13"/>
  <c r="P88" i="13"/>
  <c r="F89" i="13"/>
  <c r="I88" i="13"/>
  <c r="N90" i="13"/>
  <c r="L90" i="13"/>
  <c r="J90" i="13"/>
  <c r="M90" i="13"/>
  <c r="K90" i="13"/>
  <c r="E90" i="13"/>
  <c r="G90" i="13" s="1"/>
  <c r="D90" i="13"/>
  <c r="T89" i="13"/>
  <c r="U86" i="13"/>
  <c r="H90" i="13" l="1"/>
  <c r="P89" i="13"/>
  <c r="C92" i="13"/>
  <c r="O90" i="13"/>
  <c r="F90" i="13"/>
  <c r="I89" i="13"/>
  <c r="M91" i="13"/>
  <c r="N91" i="13"/>
  <c r="K91" i="13"/>
  <c r="J91" i="13"/>
  <c r="L91" i="13"/>
  <c r="E91" i="13"/>
  <c r="G91" i="13" s="1"/>
  <c r="D91" i="13"/>
  <c r="T90" i="13"/>
  <c r="U87" i="13"/>
  <c r="P90" i="13" l="1"/>
  <c r="H91" i="13"/>
  <c r="C93" i="13"/>
  <c r="O91" i="13"/>
  <c r="F91" i="13"/>
  <c r="I90" i="13"/>
  <c r="M92" i="13"/>
  <c r="N92" i="13"/>
  <c r="L92" i="13"/>
  <c r="K92" i="13"/>
  <c r="J92" i="13"/>
  <c r="E92" i="13"/>
  <c r="G92" i="13" s="1"/>
  <c r="D92" i="13"/>
  <c r="T91" i="13"/>
  <c r="U88" i="13"/>
  <c r="P91" i="13" l="1"/>
  <c r="C94" i="13"/>
  <c r="H92" i="13"/>
  <c r="O92" i="13"/>
  <c r="P92" i="13" s="1"/>
  <c r="F92" i="13"/>
  <c r="I91" i="13"/>
  <c r="M93" i="13"/>
  <c r="N93" i="13"/>
  <c r="L93" i="13"/>
  <c r="K93" i="13"/>
  <c r="J93" i="13"/>
  <c r="E93" i="13"/>
  <c r="G93" i="13" s="1"/>
  <c r="D93" i="13"/>
  <c r="T92" i="13"/>
  <c r="U89" i="13"/>
  <c r="C95" i="13" l="1"/>
  <c r="H93" i="13"/>
  <c r="O93" i="13"/>
  <c r="P93" i="13" s="1"/>
  <c r="F93" i="13"/>
  <c r="I92" i="13"/>
  <c r="M94" i="13"/>
  <c r="N94" i="13"/>
  <c r="L94" i="13"/>
  <c r="K94" i="13"/>
  <c r="J94" i="13"/>
  <c r="E94" i="13"/>
  <c r="G94" i="13" s="1"/>
  <c r="D94" i="13"/>
  <c r="T93" i="13"/>
  <c r="U90" i="13"/>
  <c r="C96" i="13" l="1"/>
  <c r="H94" i="13"/>
  <c r="F94" i="13"/>
  <c r="I93" i="13"/>
  <c r="O94" i="13"/>
  <c r="P94" i="13" s="1"/>
  <c r="L95" i="13"/>
  <c r="M95" i="13"/>
  <c r="N95" i="13"/>
  <c r="K95" i="13"/>
  <c r="J95" i="13"/>
  <c r="E95" i="13"/>
  <c r="G95" i="13" s="1"/>
  <c r="D95" i="13"/>
  <c r="T94" i="13"/>
  <c r="U91" i="13"/>
  <c r="H95" i="13" l="1"/>
  <c r="C97" i="13"/>
  <c r="O95" i="13"/>
  <c r="F95" i="13"/>
  <c r="I94" i="13"/>
  <c r="M96" i="13"/>
  <c r="N96" i="13"/>
  <c r="L96" i="13"/>
  <c r="K96" i="13"/>
  <c r="J96" i="13"/>
  <c r="D96" i="13"/>
  <c r="E96" i="13"/>
  <c r="G96" i="13" s="1"/>
  <c r="T95" i="13"/>
  <c r="U92" i="13"/>
  <c r="P95" i="13" l="1"/>
  <c r="C98" i="13"/>
  <c r="H96" i="13"/>
  <c r="F96" i="13"/>
  <c r="I95" i="13"/>
  <c r="O96" i="13"/>
  <c r="L97" i="13"/>
  <c r="M97" i="13"/>
  <c r="J97" i="13"/>
  <c r="K97" i="13"/>
  <c r="N97" i="13"/>
  <c r="E97" i="13"/>
  <c r="G97" i="13" s="1"/>
  <c r="D97" i="13"/>
  <c r="T96" i="13"/>
  <c r="U93" i="13"/>
  <c r="H97" i="13" l="1"/>
  <c r="C99" i="13"/>
  <c r="O97" i="13"/>
  <c r="P97" i="13" s="1"/>
  <c r="F97" i="13"/>
  <c r="I96" i="13"/>
  <c r="P96" i="13"/>
  <c r="N98" i="13"/>
  <c r="L98" i="13"/>
  <c r="K98" i="13"/>
  <c r="M98" i="13"/>
  <c r="J98" i="13"/>
  <c r="E98" i="13"/>
  <c r="G98" i="13" s="1"/>
  <c r="D98" i="13"/>
  <c r="T97" i="13"/>
  <c r="U94" i="13"/>
  <c r="H98" i="13" l="1"/>
  <c r="C100" i="13"/>
  <c r="F98" i="13"/>
  <c r="I97" i="13"/>
  <c r="O98" i="13"/>
  <c r="N99" i="13"/>
  <c r="J99" i="13"/>
  <c r="M99" i="13"/>
  <c r="L99" i="13"/>
  <c r="K99" i="13"/>
  <c r="E99" i="13"/>
  <c r="G99" i="13" s="1"/>
  <c r="D99" i="13"/>
  <c r="T98" i="13"/>
  <c r="U95" i="13"/>
  <c r="C101" i="13" l="1"/>
  <c r="H99" i="13"/>
  <c r="F99" i="13"/>
  <c r="I98" i="13"/>
  <c r="O99" i="13"/>
  <c r="P99" i="13" s="1"/>
  <c r="P98" i="13"/>
  <c r="N100" i="13"/>
  <c r="L100" i="13"/>
  <c r="K100" i="13"/>
  <c r="J100" i="13"/>
  <c r="M100" i="13"/>
  <c r="E100" i="13"/>
  <c r="G100" i="13" s="1"/>
  <c r="D100" i="13"/>
  <c r="T99" i="13"/>
  <c r="U96" i="13"/>
  <c r="C102" i="13" l="1"/>
  <c r="F100" i="13"/>
  <c r="I99" i="13"/>
  <c r="H100" i="13"/>
  <c r="O100" i="13"/>
  <c r="N101" i="13"/>
  <c r="L101" i="13"/>
  <c r="K101" i="13"/>
  <c r="M101" i="13"/>
  <c r="J101" i="13"/>
  <c r="E101" i="13"/>
  <c r="G101" i="13" s="1"/>
  <c r="D101" i="13"/>
  <c r="T100" i="13"/>
  <c r="U97" i="13"/>
  <c r="C103" i="13" l="1"/>
  <c r="H101" i="13"/>
  <c r="F101" i="13"/>
  <c r="I100" i="13"/>
  <c r="P100" i="13"/>
  <c r="O101" i="13"/>
  <c r="P101" i="13" s="1"/>
  <c r="N102" i="13"/>
  <c r="L102" i="13"/>
  <c r="M102" i="13"/>
  <c r="K102" i="13"/>
  <c r="J102" i="13"/>
  <c r="E102" i="13"/>
  <c r="G102" i="13" s="1"/>
  <c r="D102" i="13"/>
  <c r="T101" i="13"/>
  <c r="U98" i="13"/>
  <c r="C104" i="13" l="1"/>
  <c r="H102" i="13"/>
  <c r="F102" i="13"/>
  <c r="I101" i="13"/>
  <c r="O102" i="13"/>
  <c r="P102" i="13" s="1"/>
  <c r="M103" i="13"/>
  <c r="N103" i="13"/>
  <c r="L103" i="13"/>
  <c r="J103" i="13"/>
  <c r="K103" i="13"/>
  <c r="E103" i="13"/>
  <c r="G103" i="13" s="1"/>
  <c r="D103" i="13"/>
  <c r="T102" i="13"/>
  <c r="U99" i="13"/>
  <c r="H103" i="13" l="1"/>
  <c r="C105" i="13"/>
  <c r="F103" i="13"/>
  <c r="I102" i="13"/>
  <c r="O103" i="13"/>
  <c r="P103" i="13" s="1"/>
  <c r="M104" i="13"/>
  <c r="N104" i="13"/>
  <c r="J104" i="13"/>
  <c r="L104" i="13"/>
  <c r="K104" i="13"/>
  <c r="D104" i="13"/>
  <c r="E104" i="13"/>
  <c r="G104" i="13" s="1"/>
  <c r="T103" i="13"/>
  <c r="U100" i="13"/>
  <c r="C106" i="13" l="1"/>
  <c r="O104" i="13"/>
  <c r="H104" i="13"/>
  <c r="F104" i="13"/>
  <c r="I103" i="13"/>
  <c r="M105" i="13"/>
  <c r="N105" i="13"/>
  <c r="K105" i="13"/>
  <c r="J105" i="13"/>
  <c r="L105" i="13"/>
  <c r="E105" i="13"/>
  <c r="G105" i="13" s="1"/>
  <c r="D105" i="13"/>
  <c r="T104" i="13"/>
  <c r="U101" i="13"/>
  <c r="H105" i="13" l="1"/>
  <c r="C107" i="13"/>
  <c r="P104" i="13"/>
  <c r="O105" i="13"/>
  <c r="P105" i="13" s="1"/>
  <c r="F105" i="13"/>
  <c r="I104" i="13"/>
  <c r="M106" i="13"/>
  <c r="N106" i="13"/>
  <c r="K106" i="13"/>
  <c r="J106" i="13"/>
  <c r="L106" i="13"/>
  <c r="E106" i="13"/>
  <c r="G106" i="13" s="1"/>
  <c r="D106" i="13"/>
  <c r="T105" i="13"/>
  <c r="U102" i="13"/>
  <c r="C108" i="13" l="1"/>
  <c r="H106" i="13"/>
  <c r="O106" i="13"/>
  <c r="F106" i="13"/>
  <c r="I105" i="13"/>
  <c r="L107" i="13"/>
  <c r="M107" i="13"/>
  <c r="N107" i="13"/>
  <c r="K107" i="13"/>
  <c r="J107" i="13"/>
  <c r="E107" i="13"/>
  <c r="G107" i="13" s="1"/>
  <c r="D107" i="13"/>
  <c r="T106" i="13"/>
  <c r="U103" i="13"/>
  <c r="P106" i="13" l="1"/>
  <c r="C109" i="13"/>
  <c r="H107" i="13"/>
  <c r="O107" i="13"/>
  <c r="F107" i="13"/>
  <c r="I106" i="13"/>
  <c r="M108" i="13"/>
  <c r="N108" i="13"/>
  <c r="K108" i="13"/>
  <c r="J108" i="13"/>
  <c r="L108" i="13"/>
  <c r="E108" i="13"/>
  <c r="G108" i="13" s="1"/>
  <c r="D108" i="13"/>
  <c r="T107" i="13"/>
  <c r="U104" i="13"/>
  <c r="P107" i="13" l="1"/>
  <c r="H108" i="13"/>
  <c r="C110" i="13"/>
  <c r="F108" i="13"/>
  <c r="I107" i="13"/>
  <c r="O108" i="13"/>
  <c r="P108" i="13" s="1"/>
  <c r="L109" i="13"/>
  <c r="M109" i="13"/>
  <c r="N109" i="13"/>
  <c r="K109" i="13"/>
  <c r="J109" i="13"/>
  <c r="E109" i="13"/>
  <c r="G109" i="13" s="1"/>
  <c r="D109" i="13"/>
  <c r="T108" i="13"/>
  <c r="U105" i="13"/>
  <c r="C111" i="13" l="1"/>
  <c r="H109" i="13"/>
  <c r="I108" i="13"/>
  <c r="F109" i="13"/>
  <c r="O109" i="13"/>
  <c r="K110" i="13"/>
  <c r="N110" i="13"/>
  <c r="M110" i="13"/>
  <c r="L110" i="13"/>
  <c r="J110" i="13"/>
  <c r="E110" i="13"/>
  <c r="G110" i="13" s="1"/>
  <c r="D110" i="13"/>
  <c r="T109" i="13"/>
  <c r="U106" i="13"/>
  <c r="C112" i="13" l="1"/>
  <c r="H110" i="13"/>
  <c r="F110" i="13"/>
  <c r="I109" i="13"/>
  <c r="O110" i="13"/>
  <c r="P110" i="13" s="1"/>
  <c r="P109" i="13"/>
  <c r="N111" i="13"/>
  <c r="M111" i="13"/>
  <c r="J111" i="13"/>
  <c r="L111" i="13"/>
  <c r="K111" i="13"/>
  <c r="E111" i="13"/>
  <c r="G111" i="13" s="1"/>
  <c r="D111" i="13"/>
  <c r="H111" i="13" s="1"/>
  <c r="T110" i="13"/>
  <c r="U107" i="13"/>
  <c r="C113" i="13" l="1"/>
  <c r="O111" i="13"/>
  <c r="P111" i="13" s="1"/>
  <c r="I110" i="13"/>
  <c r="F111" i="13"/>
  <c r="N112" i="13"/>
  <c r="L112" i="13"/>
  <c r="K112" i="13"/>
  <c r="J112" i="13"/>
  <c r="M112" i="13"/>
  <c r="D112" i="13"/>
  <c r="E112" i="13"/>
  <c r="G112" i="13" s="1"/>
  <c r="T111" i="13"/>
  <c r="U108" i="13"/>
  <c r="C114" i="13" l="1"/>
  <c r="O112" i="13"/>
  <c r="H112" i="13"/>
  <c r="F112" i="13"/>
  <c r="I111" i="13"/>
  <c r="N113" i="13"/>
  <c r="M113" i="13"/>
  <c r="J113" i="13"/>
  <c r="K113" i="13"/>
  <c r="L113" i="13"/>
  <c r="E113" i="13"/>
  <c r="G113" i="13" s="1"/>
  <c r="D113" i="13"/>
  <c r="T112" i="13"/>
  <c r="U109" i="13"/>
  <c r="C115" i="13" l="1"/>
  <c r="H113" i="13"/>
  <c r="P112" i="13"/>
  <c r="I112" i="13"/>
  <c r="F113" i="13"/>
  <c r="O113" i="13"/>
  <c r="P113" i="13" s="1"/>
  <c r="N114" i="13"/>
  <c r="L114" i="13"/>
  <c r="M114" i="13"/>
  <c r="J114" i="13"/>
  <c r="K114" i="13"/>
  <c r="E114" i="13"/>
  <c r="G114" i="13" s="1"/>
  <c r="D114" i="13"/>
  <c r="H114" i="13" s="1"/>
  <c r="T113" i="13"/>
  <c r="U110" i="13"/>
  <c r="C116" i="13" l="1"/>
  <c r="I113" i="13"/>
  <c r="F114" i="13"/>
  <c r="O114" i="13"/>
  <c r="P114" i="13" s="1"/>
  <c r="M115" i="13"/>
  <c r="N115" i="13"/>
  <c r="L115" i="13"/>
  <c r="K115" i="13"/>
  <c r="J115" i="13"/>
  <c r="E115" i="13"/>
  <c r="G115" i="13" s="1"/>
  <c r="D115" i="13"/>
  <c r="T114" i="13"/>
  <c r="U111" i="13"/>
  <c r="C117" i="13" l="1"/>
  <c r="H115" i="13"/>
  <c r="O115" i="13"/>
  <c r="F115" i="13"/>
  <c r="I114" i="13"/>
  <c r="M116" i="13"/>
  <c r="N116" i="13"/>
  <c r="L116" i="13"/>
  <c r="J116" i="13"/>
  <c r="K116" i="13"/>
  <c r="E116" i="13"/>
  <c r="G116" i="13" s="1"/>
  <c r="D116" i="13"/>
  <c r="T115" i="13"/>
  <c r="U112" i="13"/>
  <c r="F6" i="1"/>
  <c r="H116" i="13" l="1"/>
  <c r="C118" i="13"/>
  <c r="P115" i="13"/>
  <c r="F116" i="13"/>
  <c r="I115" i="13"/>
  <c r="O116" i="13"/>
  <c r="P116" i="13" s="1"/>
  <c r="M117" i="13"/>
  <c r="N117" i="13"/>
  <c r="L117" i="13"/>
  <c r="J117" i="13"/>
  <c r="K117" i="13"/>
  <c r="E117" i="13"/>
  <c r="G117" i="13" s="1"/>
  <c r="D117" i="13"/>
  <c r="T116" i="13"/>
  <c r="L17" i="9"/>
  <c r="U113" i="13"/>
  <c r="C119" i="13" l="1"/>
  <c r="H117" i="13"/>
  <c r="F117" i="13"/>
  <c r="I116" i="13"/>
  <c r="O117" i="13"/>
  <c r="M118" i="13"/>
  <c r="N118" i="13"/>
  <c r="L118" i="13"/>
  <c r="J118" i="13"/>
  <c r="K118" i="13"/>
  <c r="E118" i="13"/>
  <c r="G118" i="13" s="1"/>
  <c r="D118" i="13"/>
  <c r="T117" i="13"/>
  <c r="U114" i="13"/>
  <c r="C120" i="13" l="1"/>
  <c r="H118" i="13"/>
  <c r="O118" i="13"/>
  <c r="P118" i="13" s="1"/>
  <c r="F118" i="13"/>
  <c r="I117" i="13"/>
  <c r="P117" i="13"/>
  <c r="L119" i="13"/>
  <c r="M119" i="13"/>
  <c r="N119" i="13"/>
  <c r="K119" i="13"/>
  <c r="J119" i="13"/>
  <c r="E119" i="13"/>
  <c r="G119" i="13" s="1"/>
  <c r="D119" i="13"/>
  <c r="T118" i="13"/>
  <c r="U115" i="13"/>
  <c r="H119" i="13" l="1"/>
  <c r="C121" i="13"/>
  <c r="F119" i="13"/>
  <c r="I118" i="13"/>
  <c r="O119" i="13"/>
  <c r="M120" i="13"/>
  <c r="N120" i="13"/>
  <c r="L120" i="13"/>
  <c r="K120" i="13"/>
  <c r="J120" i="13"/>
  <c r="E120" i="13"/>
  <c r="G120" i="13" s="1"/>
  <c r="D120" i="13"/>
  <c r="H120" i="13" s="1"/>
  <c r="T119" i="13"/>
  <c r="U116" i="13"/>
  <c r="P119" i="13" l="1"/>
  <c r="C122" i="13"/>
  <c r="F120" i="13"/>
  <c r="I119" i="13"/>
  <c r="O120" i="13"/>
  <c r="P120" i="13" s="1"/>
  <c r="L121" i="13"/>
  <c r="M121" i="13"/>
  <c r="N121" i="13"/>
  <c r="K121" i="13"/>
  <c r="J121" i="13"/>
  <c r="E121" i="13"/>
  <c r="G121" i="13" s="1"/>
  <c r="D121" i="13"/>
  <c r="H121" i="13" s="1"/>
  <c r="T120" i="13"/>
  <c r="U117" i="13"/>
  <c r="C123" i="13" l="1"/>
  <c r="F121" i="13"/>
  <c r="I120" i="13"/>
  <c r="O121" i="13"/>
  <c r="P121" i="13" s="1"/>
  <c r="K122" i="13"/>
  <c r="M122" i="13"/>
  <c r="N122" i="13"/>
  <c r="L122" i="13"/>
  <c r="J122" i="13"/>
  <c r="E122" i="13"/>
  <c r="G122" i="13" s="1"/>
  <c r="D122" i="13"/>
  <c r="T121" i="13"/>
  <c r="U118" i="13"/>
  <c r="C124" i="13" l="1"/>
  <c r="H122" i="13"/>
  <c r="I121" i="13"/>
  <c r="F122" i="13"/>
  <c r="O122" i="13"/>
  <c r="P122" i="13" s="1"/>
  <c r="N123" i="13"/>
  <c r="J123" i="13"/>
  <c r="M123" i="13"/>
  <c r="L123" i="13"/>
  <c r="K123" i="13"/>
  <c r="E123" i="13"/>
  <c r="G123" i="13" s="1"/>
  <c r="D123" i="13"/>
  <c r="T122" i="13"/>
  <c r="U119" i="13"/>
  <c r="C125" i="13" l="1"/>
  <c r="H123" i="13"/>
  <c r="F123" i="13"/>
  <c r="I122" i="13"/>
  <c r="O123" i="13"/>
  <c r="P123" i="13" s="1"/>
  <c r="N124" i="13"/>
  <c r="L124" i="13"/>
  <c r="K124" i="13"/>
  <c r="M124" i="13"/>
  <c r="J124" i="13"/>
  <c r="E124" i="13"/>
  <c r="G124" i="13" s="1"/>
  <c r="D124" i="13"/>
  <c r="T123" i="13"/>
  <c r="U120" i="13"/>
  <c r="H124" i="13" l="1"/>
  <c r="C126" i="13"/>
  <c r="I123" i="13"/>
  <c r="F124" i="13"/>
  <c r="O124" i="13"/>
  <c r="N125" i="13"/>
  <c r="M125" i="13"/>
  <c r="J125" i="13"/>
  <c r="K125" i="13"/>
  <c r="L125" i="13"/>
  <c r="E125" i="13"/>
  <c r="G125" i="13" s="1"/>
  <c r="D125" i="13"/>
  <c r="T124" i="13"/>
  <c r="U121" i="13"/>
  <c r="P124" i="13" l="1"/>
  <c r="H125" i="13"/>
  <c r="C127" i="13"/>
  <c r="O125" i="13"/>
  <c r="P125" i="13" s="1"/>
  <c r="I124" i="13"/>
  <c r="F125" i="13"/>
  <c r="N126" i="13"/>
  <c r="M126" i="13"/>
  <c r="K126" i="13"/>
  <c r="J126" i="13"/>
  <c r="L126" i="13"/>
  <c r="E126" i="13"/>
  <c r="G126" i="13" s="1"/>
  <c r="D126" i="13"/>
  <c r="T125" i="13"/>
  <c r="U122" i="13"/>
  <c r="C128" i="13" l="1"/>
  <c r="H126" i="13"/>
  <c r="O126" i="13"/>
  <c r="P126" i="13" s="1"/>
  <c r="F126" i="13"/>
  <c r="I125" i="13"/>
  <c r="M127" i="13"/>
  <c r="N127" i="13"/>
  <c r="L127" i="13"/>
  <c r="K127" i="13"/>
  <c r="J127" i="13"/>
  <c r="E127" i="13"/>
  <c r="G127" i="13" s="1"/>
  <c r="D127" i="13"/>
  <c r="T126" i="13"/>
  <c r="U123" i="13"/>
  <c r="C129" i="13" l="1"/>
  <c r="H127" i="13"/>
  <c r="I126" i="13"/>
  <c r="F127" i="13"/>
  <c r="O127" i="13"/>
  <c r="P127" i="13" s="1"/>
  <c r="M128" i="13"/>
  <c r="N128" i="13"/>
  <c r="L128" i="13"/>
  <c r="K128" i="13"/>
  <c r="J128" i="13"/>
  <c r="D128" i="13"/>
  <c r="E128" i="13"/>
  <c r="G128" i="13" s="1"/>
  <c r="T127" i="13"/>
  <c r="U124" i="13"/>
  <c r="C130" i="13" l="1"/>
  <c r="H128" i="13"/>
  <c r="F128" i="13"/>
  <c r="I127" i="13"/>
  <c r="O128" i="13"/>
  <c r="P128" i="13" s="1"/>
  <c r="M129" i="13"/>
  <c r="N129" i="13"/>
  <c r="L129" i="13"/>
  <c r="J129" i="13"/>
  <c r="K129" i="13"/>
  <c r="E129" i="13"/>
  <c r="G129" i="13" s="1"/>
  <c r="D129" i="13"/>
  <c r="T128" i="13"/>
  <c r="U125" i="13"/>
  <c r="H129" i="13" l="1"/>
  <c r="C131" i="13"/>
  <c r="F129" i="13"/>
  <c r="I128" i="13"/>
  <c r="O129" i="13"/>
  <c r="P129" i="13" s="1"/>
  <c r="M130" i="13"/>
  <c r="N130" i="13"/>
  <c r="J130" i="13"/>
  <c r="L130" i="13"/>
  <c r="K130" i="13"/>
  <c r="E130" i="13"/>
  <c r="G130" i="13" s="1"/>
  <c r="D130" i="13"/>
  <c r="T129" i="13"/>
  <c r="U126" i="13"/>
  <c r="H130" i="13" l="1"/>
  <c r="C132" i="13"/>
  <c r="O130" i="13"/>
  <c r="F130" i="13"/>
  <c r="I129" i="13"/>
  <c r="L131" i="13"/>
  <c r="M131" i="13"/>
  <c r="N131" i="13"/>
  <c r="J131" i="13"/>
  <c r="K131" i="13"/>
  <c r="E131" i="13"/>
  <c r="G131" i="13" s="1"/>
  <c r="D131" i="13"/>
  <c r="T130" i="13"/>
  <c r="U127" i="13"/>
  <c r="P130" i="13" l="1"/>
  <c r="C133" i="13"/>
  <c r="H131" i="13"/>
  <c r="O131" i="13"/>
  <c r="P131" i="13" s="1"/>
  <c r="F131" i="13"/>
  <c r="I130" i="13"/>
  <c r="M132" i="13"/>
  <c r="L132" i="13"/>
  <c r="N132" i="13"/>
  <c r="J132" i="13"/>
  <c r="K132" i="13"/>
  <c r="E132" i="13"/>
  <c r="G132" i="13" s="1"/>
  <c r="D132" i="13"/>
  <c r="T131" i="13"/>
  <c r="U128" i="13"/>
  <c r="C134" i="13" l="1"/>
  <c r="H132" i="13"/>
  <c r="O132" i="13"/>
  <c r="P132" i="13" s="1"/>
  <c r="F132" i="13"/>
  <c r="I131" i="13"/>
  <c r="L133" i="13"/>
  <c r="M133" i="13"/>
  <c r="K133" i="13"/>
  <c r="N133" i="13"/>
  <c r="J133" i="13"/>
  <c r="E133" i="13"/>
  <c r="G133" i="13" s="1"/>
  <c r="D133" i="13"/>
  <c r="H133" i="13" s="1"/>
  <c r="T132" i="13"/>
  <c r="U129" i="13"/>
  <c r="C135" i="13" l="1"/>
  <c r="F133" i="13"/>
  <c r="I132" i="13"/>
  <c r="O133" i="13"/>
  <c r="P133" i="13" s="1"/>
  <c r="K134" i="13"/>
  <c r="L134" i="13"/>
  <c r="M134" i="13"/>
  <c r="N134" i="13"/>
  <c r="J134" i="13"/>
  <c r="E134" i="13"/>
  <c r="G134" i="13" s="1"/>
  <c r="D134" i="13"/>
  <c r="H134" i="13" s="1"/>
  <c r="T133" i="13"/>
  <c r="U130" i="13"/>
  <c r="C136" i="13" l="1"/>
  <c r="F134" i="13"/>
  <c r="I133" i="13"/>
  <c r="O134" i="13"/>
  <c r="N135" i="13"/>
  <c r="J135" i="13"/>
  <c r="L135" i="13"/>
  <c r="K135" i="13"/>
  <c r="M135" i="13"/>
  <c r="E135" i="13"/>
  <c r="G135" i="13" s="1"/>
  <c r="D135" i="13"/>
  <c r="T134" i="13"/>
  <c r="U131" i="13"/>
  <c r="C137" i="13" l="1"/>
  <c r="H135" i="13"/>
  <c r="F135" i="13"/>
  <c r="I134" i="13"/>
  <c r="O135" i="13"/>
  <c r="P135" i="13" s="1"/>
  <c r="P134" i="13"/>
  <c r="N136" i="13"/>
  <c r="L136" i="13"/>
  <c r="K136" i="13"/>
  <c r="M136" i="13"/>
  <c r="J136" i="13"/>
  <c r="E136" i="13"/>
  <c r="G136" i="13" s="1"/>
  <c r="D136" i="13"/>
  <c r="H136" i="13" s="1"/>
  <c r="T135" i="13"/>
  <c r="U132" i="13"/>
  <c r="C138" i="13" l="1"/>
  <c r="I135" i="13"/>
  <c r="F136" i="13"/>
  <c r="O136" i="13"/>
  <c r="P136" i="13" s="1"/>
  <c r="N137" i="13"/>
  <c r="M137" i="13"/>
  <c r="K137" i="13"/>
  <c r="L137" i="13"/>
  <c r="J137" i="13"/>
  <c r="E137" i="13"/>
  <c r="G137" i="13" s="1"/>
  <c r="D137" i="13"/>
  <c r="H137" i="13" s="1"/>
  <c r="T136" i="13"/>
  <c r="U133" i="13"/>
  <c r="C139" i="13" l="1"/>
  <c r="F137" i="13"/>
  <c r="I136" i="13"/>
  <c r="O137" i="13"/>
  <c r="P137" i="13" s="1"/>
  <c r="N138" i="13"/>
  <c r="L138" i="13"/>
  <c r="K138" i="13"/>
  <c r="M138" i="13"/>
  <c r="J138" i="13"/>
  <c r="E138" i="13"/>
  <c r="G138" i="13" s="1"/>
  <c r="D138" i="13"/>
  <c r="T137" i="13"/>
  <c r="U134" i="13"/>
  <c r="H138" i="13" l="1"/>
  <c r="C140" i="13"/>
  <c r="F138" i="13"/>
  <c r="I137" i="13"/>
  <c r="O138" i="13"/>
  <c r="P138" i="13" s="1"/>
  <c r="M139" i="13"/>
  <c r="N139" i="13"/>
  <c r="K139" i="13"/>
  <c r="L139" i="13"/>
  <c r="J139" i="13"/>
  <c r="E139" i="13"/>
  <c r="G139" i="13" s="1"/>
  <c r="D139" i="13"/>
  <c r="T138" i="13"/>
  <c r="U135" i="13"/>
  <c r="C141" i="13" l="1"/>
  <c r="H139" i="13"/>
  <c r="O139" i="13"/>
  <c r="P139" i="13" s="1"/>
  <c r="I138" i="13"/>
  <c r="F139" i="13"/>
  <c r="M140" i="13"/>
  <c r="N140" i="13"/>
  <c r="L140" i="13"/>
  <c r="K140" i="13"/>
  <c r="J140" i="13"/>
  <c r="E140" i="13"/>
  <c r="G140" i="13" s="1"/>
  <c r="D140" i="13"/>
  <c r="T139" i="13"/>
  <c r="U136" i="13"/>
  <c r="C142" i="13" l="1"/>
  <c r="H140" i="13"/>
  <c r="F140" i="13"/>
  <c r="I139" i="13"/>
  <c r="O140" i="13"/>
  <c r="P140" i="13" s="1"/>
  <c r="M141" i="13"/>
  <c r="N141" i="13"/>
  <c r="L141" i="13"/>
  <c r="K141" i="13"/>
  <c r="J141" i="13"/>
  <c r="E141" i="13"/>
  <c r="G141" i="13" s="1"/>
  <c r="D141" i="13"/>
  <c r="T140" i="13"/>
  <c r="U137" i="13"/>
  <c r="H141" i="13" l="1"/>
  <c r="C143" i="13"/>
  <c r="F141" i="13"/>
  <c r="I140" i="13"/>
  <c r="O141" i="13"/>
  <c r="P141" i="13" s="1"/>
  <c r="M142" i="13"/>
  <c r="N142" i="13"/>
  <c r="J142" i="13"/>
  <c r="L142" i="13"/>
  <c r="K142" i="13"/>
  <c r="E142" i="13"/>
  <c r="G142" i="13" s="1"/>
  <c r="D142" i="13"/>
  <c r="T141" i="13"/>
  <c r="U138" i="13"/>
  <c r="C144" i="13" l="1"/>
  <c r="H142" i="13"/>
  <c r="F142" i="13"/>
  <c r="I141" i="13"/>
  <c r="O142" i="13"/>
  <c r="P142" i="13" s="1"/>
  <c r="L143" i="13"/>
  <c r="M143" i="13"/>
  <c r="N143" i="13"/>
  <c r="J143" i="13"/>
  <c r="K143" i="13"/>
  <c r="E143" i="13"/>
  <c r="G143" i="13" s="1"/>
  <c r="D143" i="13"/>
  <c r="T142" i="13"/>
  <c r="U139" i="13"/>
  <c r="H143" i="13" l="1"/>
  <c r="C145" i="13"/>
  <c r="O143" i="13"/>
  <c r="P143" i="13" s="1"/>
  <c r="F143" i="13"/>
  <c r="I142" i="13"/>
  <c r="M144" i="13"/>
  <c r="J144" i="13"/>
  <c r="N144" i="13"/>
  <c r="L144" i="13"/>
  <c r="K144" i="13"/>
  <c r="E144" i="13"/>
  <c r="G144" i="13" s="1"/>
  <c r="D144" i="13"/>
  <c r="T143" i="13"/>
  <c r="U140" i="13"/>
  <c r="C146" i="13" l="1"/>
  <c r="H144" i="13"/>
  <c r="I143" i="13"/>
  <c r="F144" i="13"/>
  <c r="O144" i="13"/>
  <c r="P144" i="13" s="1"/>
  <c r="L145" i="13"/>
  <c r="M145" i="13"/>
  <c r="N145" i="13"/>
  <c r="J145" i="13"/>
  <c r="K145" i="13"/>
  <c r="E145" i="13"/>
  <c r="G145" i="13" s="1"/>
  <c r="D145" i="13"/>
  <c r="H145" i="13" s="1"/>
  <c r="T144" i="13"/>
  <c r="U141" i="13"/>
  <c r="C147" i="13" l="1"/>
  <c r="F145" i="13"/>
  <c r="I144" i="13"/>
  <c r="O145" i="13"/>
  <c r="N146" i="13"/>
  <c r="L146" i="13"/>
  <c r="K146" i="13"/>
  <c r="M146" i="13"/>
  <c r="J146" i="13"/>
  <c r="E146" i="13"/>
  <c r="G146" i="13" s="1"/>
  <c r="D146" i="13"/>
  <c r="T145" i="13"/>
  <c r="U142" i="13"/>
  <c r="C148" i="13" l="1"/>
  <c r="H146" i="13"/>
  <c r="F146" i="13"/>
  <c r="I145" i="13"/>
  <c r="P145" i="13"/>
  <c r="O146" i="13"/>
  <c r="P146" i="13" s="1"/>
  <c r="N147" i="13"/>
  <c r="J147" i="13"/>
  <c r="M147" i="13"/>
  <c r="L147" i="13"/>
  <c r="K147" i="13"/>
  <c r="E147" i="13"/>
  <c r="G147" i="13" s="1"/>
  <c r="D147" i="13"/>
  <c r="T146" i="13"/>
  <c r="U143" i="13"/>
  <c r="C149" i="13" l="1"/>
  <c r="H147" i="13"/>
  <c r="O147" i="13"/>
  <c r="P147" i="13" s="1"/>
  <c r="F147" i="13"/>
  <c r="I146" i="13"/>
  <c r="N148" i="13"/>
  <c r="L148" i="13"/>
  <c r="K148" i="13"/>
  <c r="M148" i="13"/>
  <c r="J148" i="13"/>
  <c r="E148" i="13"/>
  <c r="G148" i="13" s="1"/>
  <c r="D148" i="13"/>
  <c r="H148" i="13" s="1"/>
  <c r="T147" i="13"/>
  <c r="U144" i="13"/>
  <c r="C150" i="13" l="1"/>
  <c r="F148" i="13"/>
  <c r="I147" i="13"/>
  <c r="O148" i="13"/>
  <c r="P148" i="13" s="1"/>
  <c r="N149" i="13"/>
  <c r="L149" i="13"/>
  <c r="K149" i="13"/>
  <c r="J149" i="13"/>
  <c r="M149" i="13"/>
  <c r="E149" i="13"/>
  <c r="G149" i="13" s="1"/>
  <c r="D149" i="13"/>
  <c r="T148" i="13"/>
  <c r="U145" i="13"/>
  <c r="C151" i="13" l="1"/>
  <c r="H149" i="13"/>
  <c r="I148" i="13"/>
  <c r="F149" i="13"/>
  <c r="O149" i="13"/>
  <c r="P149" i="13" s="1"/>
  <c r="N150" i="13"/>
  <c r="L150" i="13"/>
  <c r="M150" i="13"/>
  <c r="K150" i="13"/>
  <c r="J150" i="13"/>
  <c r="E150" i="13"/>
  <c r="G150" i="13" s="1"/>
  <c r="D150" i="13"/>
  <c r="H150" i="13" s="1"/>
  <c r="T149" i="13"/>
  <c r="U146" i="13"/>
  <c r="C152" i="13" l="1"/>
  <c r="O150" i="13"/>
  <c r="P150" i="13" s="1"/>
  <c r="F150" i="13"/>
  <c r="I149" i="13"/>
  <c r="M151" i="13"/>
  <c r="N151" i="13"/>
  <c r="L151" i="13"/>
  <c r="K151" i="13"/>
  <c r="J151" i="13"/>
  <c r="E151" i="13"/>
  <c r="G151" i="13" s="1"/>
  <c r="D151" i="13"/>
  <c r="T150" i="13"/>
  <c r="U147" i="13"/>
  <c r="C153" i="13" l="1"/>
  <c r="H151" i="13"/>
  <c r="O151" i="13"/>
  <c r="P151" i="13" s="1"/>
  <c r="I150" i="13"/>
  <c r="F151" i="13"/>
  <c r="M152" i="13"/>
  <c r="N152" i="13"/>
  <c r="K152" i="13"/>
  <c r="J152" i="13"/>
  <c r="L152" i="13"/>
  <c r="D152" i="13"/>
  <c r="E152" i="13"/>
  <c r="G152" i="13" s="1"/>
  <c r="T151" i="13"/>
  <c r="U148" i="13"/>
  <c r="C154" i="13" l="1"/>
  <c r="O152" i="13"/>
  <c r="H152" i="13"/>
  <c r="I151" i="13"/>
  <c r="F152" i="13"/>
  <c r="M153" i="13"/>
  <c r="N153" i="13"/>
  <c r="J153" i="13"/>
  <c r="L153" i="13"/>
  <c r="K153" i="13"/>
  <c r="E153" i="13"/>
  <c r="G153" i="13" s="1"/>
  <c r="D153" i="13"/>
  <c r="T152" i="13"/>
  <c r="U149" i="13"/>
  <c r="C155" i="13" l="1"/>
  <c r="P152" i="13"/>
  <c r="H153" i="13"/>
  <c r="I152" i="13"/>
  <c r="F153" i="13"/>
  <c r="O153" i="13"/>
  <c r="P153" i="13" s="1"/>
  <c r="M154" i="13"/>
  <c r="N154" i="13"/>
  <c r="J154" i="13"/>
  <c r="L154" i="13"/>
  <c r="K154" i="13"/>
  <c r="E154" i="13"/>
  <c r="G154" i="13" s="1"/>
  <c r="D154" i="13"/>
  <c r="H154" i="13" s="1"/>
  <c r="T153" i="13"/>
  <c r="U150" i="13"/>
  <c r="C156" i="13" l="1"/>
  <c r="O154" i="13"/>
  <c r="P154" i="13" s="1"/>
  <c r="F154" i="13"/>
  <c r="I153" i="13"/>
  <c r="L155" i="13"/>
  <c r="M155" i="13"/>
  <c r="N155" i="13"/>
  <c r="J155" i="13"/>
  <c r="K155" i="13"/>
  <c r="E155" i="13"/>
  <c r="G155" i="13" s="1"/>
  <c r="D155" i="13"/>
  <c r="T154" i="13"/>
  <c r="U151" i="13"/>
  <c r="C157" i="13" l="1"/>
  <c r="H155" i="13"/>
  <c r="O155" i="13"/>
  <c r="P155" i="13" s="1"/>
  <c r="F155" i="13"/>
  <c r="I154" i="13"/>
  <c r="M156" i="13"/>
  <c r="N156" i="13"/>
  <c r="J156" i="13"/>
  <c r="L156" i="13"/>
  <c r="K156" i="13"/>
  <c r="E156" i="13"/>
  <c r="G156" i="13" s="1"/>
  <c r="D156" i="13"/>
  <c r="T155" i="13"/>
  <c r="U152" i="13"/>
  <c r="H156" i="13" l="1"/>
  <c r="C158" i="13"/>
  <c r="F156" i="13"/>
  <c r="I155" i="13"/>
  <c r="O156" i="13"/>
  <c r="P156" i="13" s="1"/>
  <c r="L157" i="13"/>
  <c r="M157" i="13"/>
  <c r="N157" i="13"/>
  <c r="J157" i="13"/>
  <c r="K157" i="13"/>
  <c r="E157" i="13"/>
  <c r="G157" i="13" s="1"/>
  <c r="D157" i="13"/>
  <c r="H157" i="13" s="1"/>
  <c r="T156" i="13"/>
  <c r="U153" i="13"/>
  <c r="C159" i="13" l="1"/>
  <c r="F157" i="13"/>
  <c r="I156" i="13"/>
  <c r="O157" i="13"/>
  <c r="K158" i="13"/>
  <c r="N158" i="13"/>
  <c r="J158" i="13"/>
  <c r="M158" i="13"/>
  <c r="L158" i="13"/>
  <c r="E158" i="13"/>
  <c r="G158" i="13" s="1"/>
  <c r="D158" i="13"/>
  <c r="H158" i="13" s="1"/>
  <c r="T157" i="13"/>
  <c r="U154" i="13"/>
  <c r="C160" i="13" l="1"/>
  <c r="I157" i="13"/>
  <c r="F158" i="13"/>
  <c r="O158" i="13"/>
  <c r="P158" i="13" s="1"/>
  <c r="P157" i="13"/>
  <c r="N159" i="13"/>
  <c r="K159" i="13"/>
  <c r="M159" i="13"/>
  <c r="J159" i="13"/>
  <c r="L159" i="13"/>
  <c r="E159" i="13"/>
  <c r="G159" i="13" s="1"/>
  <c r="D159" i="13"/>
  <c r="H159" i="13" s="1"/>
  <c r="T158" i="13"/>
  <c r="U155" i="13"/>
  <c r="C161" i="13" l="1"/>
  <c r="O159" i="13"/>
  <c r="P159" i="13" s="1"/>
  <c r="F159" i="13"/>
  <c r="I158" i="13"/>
  <c r="N160" i="13"/>
  <c r="L160" i="13"/>
  <c r="K160" i="13"/>
  <c r="J160" i="13"/>
  <c r="M160" i="13"/>
  <c r="D160" i="13"/>
  <c r="E160" i="13"/>
  <c r="G160" i="13" s="1"/>
  <c r="T159" i="13"/>
  <c r="U156" i="13"/>
  <c r="C162" i="13" l="1"/>
  <c r="O160" i="13"/>
  <c r="H160" i="13"/>
  <c r="I159" i="13"/>
  <c r="F160" i="13"/>
  <c r="N161" i="13"/>
  <c r="K161" i="13"/>
  <c r="M161" i="13"/>
  <c r="J161" i="13"/>
  <c r="L161" i="13"/>
  <c r="E161" i="13"/>
  <c r="G161" i="13" s="1"/>
  <c r="D161" i="13"/>
  <c r="T160" i="13"/>
  <c r="U157" i="13"/>
  <c r="C163" i="13" l="1"/>
  <c r="P160" i="13"/>
  <c r="H161" i="13"/>
  <c r="I160" i="13"/>
  <c r="F161" i="13"/>
  <c r="O161" i="13"/>
  <c r="P161" i="13" s="1"/>
  <c r="N162" i="13"/>
  <c r="L162" i="13"/>
  <c r="M162" i="13"/>
  <c r="K162" i="13"/>
  <c r="J162" i="13"/>
  <c r="E162" i="13"/>
  <c r="G162" i="13" s="1"/>
  <c r="D162" i="13"/>
  <c r="T161" i="13"/>
  <c r="U158" i="13"/>
  <c r="H162" i="13" l="1"/>
  <c r="C164" i="13"/>
  <c r="F162" i="13"/>
  <c r="I161" i="13"/>
  <c r="O162" i="13"/>
  <c r="P162" i="13" s="1"/>
  <c r="M163" i="13"/>
  <c r="N163" i="13"/>
  <c r="L163" i="13"/>
  <c r="K163" i="13"/>
  <c r="J163" i="13"/>
  <c r="E163" i="13"/>
  <c r="G163" i="13" s="1"/>
  <c r="D163" i="13"/>
  <c r="H163" i="13" s="1"/>
  <c r="T162" i="13"/>
  <c r="U159" i="13"/>
  <c r="C165" i="13" l="1"/>
  <c r="F163" i="13"/>
  <c r="I162" i="13"/>
  <c r="O163" i="13"/>
  <c r="M164" i="13"/>
  <c r="N164" i="13"/>
  <c r="L164" i="13"/>
  <c r="K164" i="13"/>
  <c r="J164" i="13"/>
  <c r="E164" i="13"/>
  <c r="G164" i="13" s="1"/>
  <c r="D164" i="13"/>
  <c r="T163" i="13"/>
  <c r="U160" i="13"/>
  <c r="C166" i="13" l="1"/>
  <c r="H164" i="13"/>
  <c r="O164" i="13"/>
  <c r="P164" i="13" s="1"/>
  <c r="F164" i="13"/>
  <c r="I163" i="13"/>
  <c r="P163" i="13"/>
  <c r="M165" i="13"/>
  <c r="N165" i="13"/>
  <c r="L165" i="13"/>
  <c r="K165" i="13"/>
  <c r="J165" i="13"/>
  <c r="E165" i="13"/>
  <c r="G165" i="13" s="1"/>
  <c r="D165" i="13"/>
  <c r="H165" i="13" s="1"/>
  <c r="T164" i="13"/>
  <c r="U161" i="13"/>
  <c r="C167" i="13" l="1"/>
  <c r="O165" i="13"/>
  <c r="P165" i="13" s="1"/>
  <c r="I164" i="13"/>
  <c r="F165" i="13"/>
  <c r="M166" i="13"/>
  <c r="N166" i="13"/>
  <c r="L166" i="13"/>
  <c r="K166" i="13"/>
  <c r="J166" i="13"/>
  <c r="E166" i="13"/>
  <c r="G166" i="13" s="1"/>
  <c r="D166" i="13"/>
  <c r="T165" i="13"/>
  <c r="U162" i="13"/>
  <c r="H166" i="13" l="1"/>
  <c r="C168" i="13"/>
  <c r="F166" i="13"/>
  <c r="I165" i="13"/>
  <c r="O166" i="13"/>
  <c r="L167" i="13"/>
  <c r="M167" i="13"/>
  <c r="N167" i="13"/>
  <c r="J167" i="13"/>
  <c r="K167" i="13"/>
  <c r="E167" i="13"/>
  <c r="G167" i="13" s="1"/>
  <c r="D167" i="13"/>
  <c r="T166" i="13"/>
  <c r="U163" i="13"/>
  <c r="H167" i="13" l="1"/>
  <c r="C169" i="13"/>
  <c r="O167" i="13"/>
  <c r="P167" i="13" s="1"/>
  <c r="F167" i="13"/>
  <c r="I166" i="13"/>
  <c r="P166" i="13"/>
  <c r="M168" i="13"/>
  <c r="N168" i="13"/>
  <c r="L168" i="13"/>
  <c r="J168" i="13"/>
  <c r="K168" i="13"/>
  <c r="D168" i="13"/>
  <c r="E168" i="13"/>
  <c r="G168" i="13" s="1"/>
  <c r="T167" i="13"/>
  <c r="U164" i="13"/>
  <c r="C170" i="13" l="1"/>
  <c r="H168" i="13"/>
  <c r="I167" i="13"/>
  <c r="F168" i="13"/>
  <c r="O168" i="13"/>
  <c r="P168" i="13" s="1"/>
  <c r="L169" i="13"/>
  <c r="M169" i="13"/>
  <c r="N169" i="13"/>
  <c r="J169" i="13"/>
  <c r="K169" i="13"/>
  <c r="E169" i="13"/>
  <c r="G169" i="13" s="1"/>
  <c r="D169" i="13"/>
  <c r="T168" i="13"/>
  <c r="U165" i="13"/>
  <c r="C171" i="13" l="1"/>
  <c r="H169" i="13"/>
  <c r="O169" i="13"/>
  <c r="P169" i="13" s="1"/>
  <c r="F169" i="13"/>
  <c r="I168" i="13"/>
  <c r="M170" i="13"/>
  <c r="L170" i="13"/>
  <c r="J170" i="13"/>
  <c r="K170" i="13"/>
  <c r="N170" i="13"/>
  <c r="E170" i="13"/>
  <c r="G170" i="13" s="1"/>
  <c r="D170" i="13"/>
  <c r="T169" i="13"/>
  <c r="U166" i="13"/>
  <c r="H170" i="13" l="1"/>
  <c r="C172" i="13"/>
  <c r="F170" i="13"/>
  <c r="I169" i="13"/>
  <c r="O170" i="13"/>
  <c r="P170" i="13" s="1"/>
  <c r="N171" i="13"/>
  <c r="L171" i="13"/>
  <c r="J171" i="13"/>
  <c r="M171" i="13"/>
  <c r="K171" i="13"/>
  <c r="E171" i="13"/>
  <c r="G171" i="13" s="1"/>
  <c r="D171" i="13"/>
  <c r="H171" i="13" s="1"/>
  <c r="T170" i="13"/>
  <c r="U167" i="13"/>
  <c r="C173" i="13" l="1"/>
  <c r="F171" i="13"/>
  <c r="I170" i="13"/>
  <c r="O171" i="13"/>
  <c r="P171" i="13" s="1"/>
  <c r="N172" i="13"/>
  <c r="L172" i="13"/>
  <c r="M172" i="13"/>
  <c r="K172" i="13"/>
  <c r="J172" i="13"/>
  <c r="E172" i="13"/>
  <c r="G172" i="13" s="1"/>
  <c r="D172" i="13"/>
  <c r="H172" i="13" s="1"/>
  <c r="T171" i="13"/>
  <c r="U168" i="13"/>
  <c r="C174" i="13" l="1"/>
  <c r="F172" i="13"/>
  <c r="I171" i="13"/>
  <c r="O172" i="13"/>
  <c r="P172" i="13" s="1"/>
  <c r="N173" i="13"/>
  <c r="M173" i="13"/>
  <c r="J173" i="13"/>
  <c r="K173" i="13"/>
  <c r="L173" i="13"/>
  <c r="E173" i="13"/>
  <c r="G173" i="13" s="1"/>
  <c r="D173" i="13"/>
  <c r="T172" i="13"/>
  <c r="U169" i="13"/>
  <c r="C175" i="13" l="1"/>
  <c r="H173" i="13"/>
  <c r="F173" i="13"/>
  <c r="I172" i="13"/>
  <c r="O173" i="13"/>
  <c r="P173" i="13" s="1"/>
  <c r="N174" i="13"/>
  <c r="M174" i="13"/>
  <c r="L174" i="13"/>
  <c r="J174" i="13"/>
  <c r="K174" i="13"/>
  <c r="E174" i="13"/>
  <c r="G174" i="13" s="1"/>
  <c r="D174" i="13"/>
  <c r="T173" i="13"/>
  <c r="U170" i="13"/>
  <c r="H174" i="13" l="1"/>
  <c r="C176" i="13"/>
  <c r="F174" i="13"/>
  <c r="I173" i="13"/>
  <c r="O174" i="13"/>
  <c r="P174" i="13" s="1"/>
  <c r="M175" i="13"/>
  <c r="N175" i="13"/>
  <c r="L175" i="13"/>
  <c r="J175" i="13"/>
  <c r="K175" i="13"/>
  <c r="E175" i="13"/>
  <c r="G175" i="13" s="1"/>
  <c r="D175" i="13"/>
  <c r="T174" i="13"/>
  <c r="U171" i="13"/>
  <c r="C177" i="13" l="1"/>
  <c r="H175" i="13"/>
  <c r="F175" i="13"/>
  <c r="I174" i="13"/>
  <c r="O175" i="13"/>
  <c r="P175" i="13" s="1"/>
  <c r="M176" i="13"/>
  <c r="N176" i="13"/>
  <c r="K176" i="13"/>
  <c r="L176" i="13"/>
  <c r="J176" i="13"/>
  <c r="D176" i="13"/>
  <c r="E176" i="13"/>
  <c r="G176" i="13" s="1"/>
  <c r="T175" i="13"/>
  <c r="U172" i="13"/>
  <c r="C178" i="13" l="1"/>
  <c r="H176" i="13"/>
  <c r="I175" i="13"/>
  <c r="F176" i="13"/>
  <c r="O176" i="13"/>
  <c r="P176" i="13" s="1"/>
  <c r="M177" i="13"/>
  <c r="N177" i="13"/>
  <c r="L177" i="13"/>
  <c r="K177" i="13"/>
  <c r="J177" i="13"/>
  <c r="E177" i="13"/>
  <c r="G177" i="13" s="1"/>
  <c r="D177" i="13"/>
  <c r="T176" i="13"/>
  <c r="U173" i="13"/>
  <c r="H177" i="13" l="1"/>
  <c r="C179" i="13"/>
  <c r="F177" i="13"/>
  <c r="I176" i="13"/>
  <c r="O177" i="13"/>
  <c r="P177" i="13" s="1"/>
  <c r="M178" i="13"/>
  <c r="N178" i="13"/>
  <c r="K178" i="13"/>
  <c r="L178" i="13"/>
  <c r="J178" i="13"/>
  <c r="E178" i="13"/>
  <c r="G178" i="13" s="1"/>
  <c r="D178" i="13"/>
  <c r="H178" i="13" s="1"/>
  <c r="T177" i="13"/>
  <c r="U174" i="13"/>
  <c r="C180" i="13" l="1"/>
  <c r="F178" i="13"/>
  <c r="I177" i="13"/>
  <c r="O178" i="13"/>
  <c r="P178" i="13" s="1"/>
  <c r="L179" i="13"/>
  <c r="M179" i="13"/>
  <c r="N179" i="13"/>
  <c r="J179" i="13"/>
  <c r="K179" i="13"/>
  <c r="E179" i="13"/>
  <c r="G179" i="13" s="1"/>
  <c r="D179" i="13"/>
  <c r="T178" i="13"/>
  <c r="U175" i="13"/>
  <c r="C181" i="13" l="1"/>
  <c r="H179" i="13"/>
  <c r="F179" i="13"/>
  <c r="I178" i="13"/>
  <c r="O179" i="13"/>
  <c r="P179" i="13" s="1"/>
  <c r="M180" i="13"/>
  <c r="L180" i="13"/>
  <c r="N180" i="13"/>
  <c r="J180" i="13"/>
  <c r="K180" i="13"/>
  <c r="E180" i="13"/>
  <c r="G180" i="13" s="1"/>
  <c r="D180" i="13"/>
  <c r="T179" i="13"/>
  <c r="U176" i="13"/>
  <c r="C182" i="13" l="1"/>
  <c r="H180" i="13"/>
  <c r="F180" i="13"/>
  <c r="I179" i="13"/>
  <c r="O180" i="13"/>
  <c r="L181" i="13"/>
  <c r="M181" i="13"/>
  <c r="J181" i="13"/>
  <c r="K181" i="13"/>
  <c r="N181" i="13"/>
  <c r="E181" i="13"/>
  <c r="G181" i="13" s="1"/>
  <c r="D181" i="13"/>
  <c r="T180" i="13"/>
  <c r="U177" i="13"/>
  <c r="H181" i="13" l="1"/>
  <c r="C183" i="13"/>
  <c r="F181" i="13"/>
  <c r="I180" i="13"/>
  <c r="O181" i="13"/>
  <c r="P181" i="13" s="1"/>
  <c r="P180" i="13"/>
  <c r="L182" i="13"/>
  <c r="M182" i="13"/>
  <c r="J182" i="13"/>
  <c r="K182" i="13"/>
  <c r="N182" i="13"/>
  <c r="E182" i="13"/>
  <c r="G182" i="13" s="1"/>
  <c r="D182" i="13"/>
  <c r="H182" i="13" s="1"/>
  <c r="T181" i="13"/>
  <c r="U178" i="13"/>
  <c r="C184" i="13" l="1"/>
  <c r="O182" i="13"/>
  <c r="P182" i="13" s="1"/>
  <c r="F182" i="13"/>
  <c r="I181" i="13"/>
  <c r="N183" i="13"/>
  <c r="L183" i="13"/>
  <c r="M183" i="13"/>
  <c r="K183" i="13"/>
  <c r="J183" i="13"/>
  <c r="E183" i="13"/>
  <c r="G183" i="13" s="1"/>
  <c r="D183" i="13"/>
  <c r="T182" i="13"/>
  <c r="U179" i="13"/>
  <c r="H183" i="13" l="1"/>
  <c r="C185" i="13"/>
  <c r="O183" i="13"/>
  <c r="P183" i="13" s="1"/>
  <c r="F183" i="13"/>
  <c r="I182" i="13"/>
  <c r="N184" i="13"/>
  <c r="L184" i="13"/>
  <c r="K184" i="13"/>
  <c r="M184" i="13"/>
  <c r="J184" i="13"/>
  <c r="E184" i="13"/>
  <c r="G184" i="13" s="1"/>
  <c r="D184" i="13"/>
  <c r="T183" i="13"/>
  <c r="U180" i="13"/>
  <c r="C186" i="13" l="1"/>
  <c r="H184" i="13"/>
  <c r="F184" i="13"/>
  <c r="I183" i="13"/>
  <c r="O184" i="13"/>
  <c r="P184" i="13" s="1"/>
  <c r="N185" i="13"/>
  <c r="M185" i="13"/>
  <c r="L185" i="13"/>
  <c r="K185" i="13"/>
  <c r="J185" i="13"/>
  <c r="E185" i="13"/>
  <c r="G185" i="13" s="1"/>
  <c r="D185" i="13"/>
  <c r="T184" i="13"/>
  <c r="U181" i="13"/>
  <c r="H185" i="13" l="1"/>
  <c r="C187" i="13"/>
  <c r="F185" i="13"/>
  <c r="I184" i="13"/>
  <c r="O185" i="13"/>
  <c r="N186" i="13"/>
  <c r="M186" i="13"/>
  <c r="K186" i="13"/>
  <c r="J186" i="13"/>
  <c r="L186" i="13"/>
  <c r="E186" i="13"/>
  <c r="G186" i="13" s="1"/>
  <c r="D186" i="13"/>
  <c r="T185" i="13"/>
  <c r="U182" i="13"/>
  <c r="C188" i="13" l="1"/>
  <c r="H186" i="13"/>
  <c r="O186" i="13"/>
  <c r="P186" i="13" s="1"/>
  <c r="F186" i="13"/>
  <c r="I185" i="13"/>
  <c r="P185" i="13"/>
  <c r="M187" i="13"/>
  <c r="N187" i="13"/>
  <c r="J187" i="13"/>
  <c r="L187" i="13"/>
  <c r="K187" i="13"/>
  <c r="E187" i="13"/>
  <c r="G187" i="13" s="1"/>
  <c r="D187" i="13"/>
  <c r="T186" i="13"/>
  <c r="U183" i="13"/>
  <c r="H187" i="13" l="1"/>
  <c r="C189" i="13"/>
  <c r="F187" i="13"/>
  <c r="I186" i="13"/>
  <c r="O187" i="13"/>
  <c r="P187" i="13" s="1"/>
  <c r="M188" i="13"/>
  <c r="N188" i="13"/>
  <c r="L188" i="13"/>
  <c r="J188" i="13"/>
  <c r="K188" i="13"/>
  <c r="E188" i="13"/>
  <c r="G188" i="13" s="1"/>
  <c r="D188" i="13"/>
  <c r="T187" i="13"/>
  <c r="U184" i="13"/>
  <c r="H188" i="13" l="1"/>
  <c r="C190" i="13"/>
  <c r="F188" i="13"/>
  <c r="I187" i="13"/>
  <c r="O188" i="13"/>
  <c r="M189" i="13"/>
  <c r="N189" i="13"/>
  <c r="K189" i="13"/>
  <c r="L189" i="13"/>
  <c r="J189" i="13"/>
  <c r="E189" i="13"/>
  <c r="G189" i="13" s="1"/>
  <c r="D189" i="13"/>
  <c r="T188" i="13"/>
  <c r="U185" i="13"/>
  <c r="H189" i="13" l="1"/>
  <c r="C191" i="13"/>
  <c r="F189" i="13"/>
  <c r="I188" i="13"/>
  <c r="P188" i="13"/>
  <c r="O189" i="13"/>
  <c r="P189" i="13" s="1"/>
  <c r="M190" i="13"/>
  <c r="N190" i="13"/>
  <c r="K190" i="13"/>
  <c r="L190" i="13"/>
  <c r="J190" i="13"/>
  <c r="E190" i="13"/>
  <c r="G190" i="13" s="1"/>
  <c r="D190" i="13"/>
  <c r="T189" i="13"/>
  <c r="U186" i="13"/>
  <c r="C192" i="13" l="1"/>
  <c r="H190" i="13"/>
  <c r="F190" i="13"/>
  <c r="I189" i="13"/>
  <c r="O190" i="13"/>
  <c r="P190" i="13" s="1"/>
  <c r="L191" i="13"/>
  <c r="M191" i="13"/>
  <c r="N191" i="13"/>
  <c r="J191" i="13"/>
  <c r="K191" i="13"/>
  <c r="E191" i="13"/>
  <c r="G191" i="13" s="1"/>
  <c r="D191" i="13"/>
  <c r="H191" i="13" s="1"/>
  <c r="T190" i="13"/>
  <c r="U187" i="13"/>
  <c r="C193" i="13" l="1"/>
  <c r="O191" i="13"/>
  <c r="P191" i="13" s="1"/>
  <c r="F191" i="13"/>
  <c r="I190" i="13"/>
  <c r="M192" i="13"/>
  <c r="J192" i="13"/>
  <c r="L192" i="13"/>
  <c r="K192" i="13"/>
  <c r="N192" i="13"/>
  <c r="D192" i="13"/>
  <c r="E192" i="13"/>
  <c r="G192" i="13" s="1"/>
  <c r="T191" i="13"/>
  <c r="U188" i="13"/>
  <c r="C194" i="13" l="1"/>
  <c r="H192" i="13"/>
  <c r="F192" i="13"/>
  <c r="I191" i="13"/>
  <c r="O192" i="13"/>
  <c r="P192" i="13" s="1"/>
  <c r="L193" i="13"/>
  <c r="M193" i="13"/>
  <c r="J193" i="13"/>
  <c r="N193" i="13"/>
  <c r="K193" i="13"/>
  <c r="E193" i="13"/>
  <c r="G193" i="13" s="1"/>
  <c r="D193" i="13"/>
  <c r="T192" i="13"/>
  <c r="U189" i="13"/>
  <c r="H193" i="13" l="1"/>
  <c r="C195" i="13"/>
  <c r="O193" i="13"/>
  <c r="P193" i="13" s="1"/>
  <c r="F193" i="13"/>
  <c r="I192" i="13"/>
  <c r="N194" i="13"/>
  <c r="L194" i="13"/>
  <c r="J194" i="13"/>
  <c r="M194" i="13"/>
  <c r="K194" i="13"/>
  <c r="E194" i="13"/>
  <c r="G194" i="13" s="1"/>
  <c r="D194" i="13"/>
  <c r="T193" i="13"/>
  <c r="U190" i="13"/>
  <c r="C196" i="13" l="1"/>
  <c r="H194" i="13"/>
  <c r="O194" i="13"/>
  <c r="P194" i="13" s="1"/>
  <c r="F194" i="13"/>
  <c r="I193" i="13"/>
  <c r="N195" i="13"/>
  <c r="M195" i="13"/>
  <c r="J195" i="13"/>
  <c r="K195" i="13"/>
  <c r="L195" i="13"/>
  <c r="E195" i="13"/>
  <c r="G195" i="13" s="1"/>
  <c r="D195" i="13"/>
  <c r="T194" i="13"/>
  <c r="U191" i="13"/>
  <c r="H195" i="13" l="1"/>
  <c r="C197" i="13"/>
  <c r="F195" i="13"/>
  <c r="I194" i="13"/>
  <c r="O195" i="13"/>
  <c r="P195" i="13" s="1"/>
  <c r="N196" i="13"/>
  <c r="L196" i="13"/>
  <c r="M196" i="13"/>
  <c r="K196" i="13"/>
  <c r="J196" i="13"/>
  <c r="E196" i="13"/>
  <c r="G196" i="13" s="1"/>
  <c r="D196" i="13"/>
  <c r="T195" i="13"/>
  <c r="U192" i="13"/>
  <c r="C198" i="13" l="1"/>
  <c r="O196" i="13"/>
  <c r="H196" i="13"/>
  <c r="I195" i="13"/>
  <c r="F196" i="13"/>
  <c r="N197" i="13"/>
  <c r="L197" i="13"/>
  <c r="M197" i="13"/>
  <c r="J197" i="13"/>
  <c r="K197" i="13"/>
  <c r="E197" i="13"/>
  <c r="G197" i="13" s="1"/>
  <c r="D197" i="13"/>
  <c r="T196" i="13"/>
  <c r="U193" i="13"/>
  <c r="C199" i="13" l="1"/>
  <c r="H197" i="13"/>
  <c r="P196" i="13"/>
  <c r="O197" i="13"/>
  <c r="P197" i="13" s="1"/>
  <c r="I196" i="13"/>
  <c r="F197" i="13"/>
  <c r="N198" i="13"/>
  <c r="M198" i="13"/>
  <c r="L198" i="13"/>
  <c r="K198" i="13"/>
  <c r="J198" i="13"/>
  <c r="E198" i="13"/>
  <c r="G198" i="13" s="1"/>
  <c r="D198" i="13"/>
  <c r="T197" i="13"/>
  <c r="U194" i="13"/>
  <c r="H198" i="13" l="1"/>
  <c r="C200" i="13"/>
  <c r="F198" i="13"/>
  <c r="I197" i="13"/>
  <c r="O198" i="13"/>
  <c r="P198" i="13" s="1"/>
  <c r="M199" i="13"/>
  <c r="N199" i="13"/>
  <c r="L199" i="13"/>
  <c r="K199" i="13"/>
  <c r="J199" i="13"/>
  <c r="E199" i="13"/>
  <c r="G199" i="13" s="1"/>
  <c r="D199" i="13"/>
  <c r="T198" i="13"/>
  <c r="U195" i="13"/>
  <c r="C201" i="13" l="1"/>
  <c r="H199" i="13"/>
  <c r="O199" i="13"/>
  <c r="P199" i="13" s="1"/>
  <c r="F199" i="13"/>
  <c r="I198" i="13"/>
  <c r="M200" i="13"/>
  <c r="N200" i="13"/>
  <c r="K200" i="13"/>
  <c r="J200" i="13"/>
  <c r="L200" i="13"/>
  <c r="E200" i="13"/>
  <c r="G200" i="13" s="1"/>
  <c r="D200" i="13"/>
  <c r="T199" i="13"/>
  <c r="U196" i="13"/>
  <c r="H200" i="13" l="1"/>
  <c r="C202" i="13"/>
  <c r="O200" i="13"/>
  <c r="P200" i="13" s="1"/>
  <c r="F200" i="13"/>
  <c r="I199" i="13"/>
  <c r="M201" i="13"/>
  <c r="N201" i="13"/>
  <c r="K201" i="13"/>
  <c r="L201" i="13"/>
  <c r="J201" i="13"/>
  <c r="E201" i="13"/>
  <c r="G201" i="13" s="1"/>
  <c r="D201" i="13"/>
  <c r="H201" i="13" s="1"/>
  <c r="T200" i="13"/>
  <c r="U197" i="13"/>
  <c r="C203" i="13" l="1"/>
  <c r="F201" i="13"/>
  <c r="I200" i="13"/>
  <c r="O201" i="13"/>
  <c r="P201" i="13" s="1"/>
  <c r="M202" i="13"/>
  <c r="N202" i="13"/>
  <c r="K202" i="13"/>
  <c r="L202" i="13"/>
  <c r="J202" i="13"/>
  <c r="E202" i="13"/>
  <c r="G202" i="13" s="1"/>
  <c r="D202" i="13"/>
  <c r="T201" i="13"/>
  <c r="U198" i="13"/>
  <c r="H202" i="13" l="1"/>
  <c r="C204" i="13"/>
  <c r="F202" i="13"/>
  <c r="I201" i="13"/>
  <c r="O202" i="13"/>
  <c r="P202" i="13" s="1"/>
  <c r="L203" i="13"/>
  <c r="M203" i="13"/>
  <c r="N203" i="13"/>
  <c r="J203" i="13"/>
  <c r="K203" i="13"/>
  <c r="E203" i="13"/>
  <c r="G203" i="13" s="1"/>
  <c r="D203" i="13"/>
  <c r="T202" i="13"/>
  <c r="U199" i="13"/>
  <c r="C205" i="13" l="1"/>
  <c r="O203" i="13"/>
  <c r="H203" i="13"/>
  <c r="F203" i="13"/>
  <c r="I202" i="13"/>
  <c r="M204" i="13"/>
  <c r="N204" i="13"/>
  <c r="J204" i="13"/>
  <c r="K204" i="13"/>
  <c r="L204" i="13"/>
  <c r="E204" i="13"/>
  <c r="G204" i="13" s="1"/>
  <c r="D204" i="13"/>
  <c r="T203" i="13"/>
  <c r="U200" i="13"/>
  <c r="C206" i="13" l="1"/>
  <c r="P203" i="13"/>
  <c r="H204" i="13"/>
  <c r="F204" i="13"/>
  <c r="I203" i="13"/>
  <c r="O204" i="13"/>
  <c r="P204" i="13" s="1"/>
  <c r="L205" i="13"/>
  <c r="M205" i="13"/>
  <c r="N205" i="13"/>
  <c r="J205" i="13"/>
  <c r="K205" i="13"/>
  <c r="E205" i="13"/>
  <c r="G205" i="13" s="1"/>
  <c r="D205" i="13"/>
  <c r="T204" i="13"/>
  <c r="U201" i="13"/>
  <c r="C207" i="13" l="1"/>
  <c r="H205" i="13"/>
  <c r="F205" i="13"/>
  <c r="I204" i="13"/>
  <c r="O205" i="13"/>
  <c r="N206" i="13"/>
  <c r="M206" i="13"/>
  <c r="J206" i="13"/>
  <c r="L206" i="13"/>
  <c r="K206" i="13"/>
  <c r="E206" i="13"/>
  <c r="G206" i="13" s="1"/>
  <c r="D206" i="13"/>
  <c r="H206" i="13" s="1"/>
  <c r="T205" i="13"/>
  <c r="U202" i="13"/>
  <c r="C208" i="13" l="1"/>
  <c r="I205" i="13"/>
  <c r="F206" i="13"/>
  <c r="P205" i="13"/>
  <c r="O206" i="13"/>
  <c r="P206" i="13" s="1"/>
  <c r="N207" i="13"/>
  <c r="M207" i="13"/>
  <c r="L207" i="13"/>
  <c r="J207" i="13"/>
  <c r="K207" i="13"/>
  <c r="E207" i="13"/>
  <c r="G207" i="13" s="1"/>
  <c r="D207" i="13"/>
  <c r="T206" i="13"/>
  <c r="U203" i="13"/>
  <c r="C209" i="13" l="1"/>
  <c r="H207" i="13"/>
  <c r="F207" i="13"/>
  <c r="I206" i="13"/>
  <c r="O207" i="13"/>
  <c r="P207" i="13" s="1"/>
  <c r="N208" i="13"/>
  <c r="L208" i="13"/>
  <c r="K208" i="13"/>
  <c r="J208" i="13"/>
  <c r="M208" i="13"/>
  <c r="E208" i="13"/>
  <c r="G208" i="13" s="1"/>
  <c r="D208" i="13"/>
  <c r="T207" i="13"/>
  <c r="U204" i="13"/>
  <c r="H208" i="13" l="1"/>
  <c r="C210" i="13"/>
  <c r="F208" i="13"/>
  <c r="I207" i="13"/>
  <c r="O208" i="13"/>
  <c r="N209" i="13"/>
  <c r="M209" i="13"/>
  <c r="L209" i="13"/>
  <c r="J209" i="13"/>
  <c r="K209" i="13"/>
  <c r="E209" i="13"/>
  <c r="G209" i="13" s="1"/>
  <c r="D209" i="13"/>
  <c r="T208" i="13"/>
  <c r="U205" i="13"/>
  <c r="H209" i="13" l="1"/>
  <c r="C211" i="13"/>
  <c r="F209" i="13"/>
  <c r="I208" i="13"/>
  <c r="P208" i="13"/>
  <c r="O209" i="13"/>
  <c r="P209" i="13" s="1"/>
  <c r="N210" i="13"/>
  <c r="L210" i="13"/>
  <c r="J210" i="13"/>
  <c r="M210" i="13"/>
  <c r="K210" i="13"/>
  <c r="E210" i="13"/>
  <c r="G210" i="13" s="1"/>
  <c r="D210" i="13"/>
  <c r="T209" i="13"/>
  <c r="U206" i="13"/>
  <c r="C212" i="13" l="1"/>
  <c r="F210" i="13"/>
  <c r="I209" i="13"/>
  <c r="H210" i="13"/>
  <c r="O210" i="13"/>
  <c r="P210" i="13" s="1"/>
  <c r="M211" i="13"/>
  <c r="N211" i="13"/>
  <c r="L211" i="13"/>
  <c r="J211" i="13"/>
  <c r="K211" i="13"/>
  <c r="E211" i="13"/>
  <c r="G211" i="13" s="1"/>
  <c r="D211" i="13"/>
  <c r="H211" i="13" s="1"/>
  <c r="T210" i="13"/>
  <c r="U207" i="13"/>
  <c r="C213" i="13" l="1"/>
  <c r="I210" i="13"/>
  <c r="F211" i="13"/>
  <c r="O211" i="13"/>
  <c r="P211" i="13" s="1"/>
  <c r="M212" i="13"/>
  <c r="N212" i="13"/>
  <c r="L212" i="13"/>
  <c r="J212" i="13"/>
  <c r="K212" i="13"/>
  <c r="E212" i="13"/>
  <c r="G212" i="13" s="1"/>
  <c r="D212" i="13"/>
  <c r="T211" i="13"/>
  <c r="U208" i="13"/>
  <c r="H212" i="13" l="1"/>
  <c r="C214" i="13"/>
  <c r="F212" i="13"/>
  <c r="I211" i="13"/>
  <c r="O212" i="13"/>
  <c r="P212" i="13" s="1"/>
  <c r="M213" i="13"/>
  <c r="N213" i="13"/>
  <c r="L213" i="13"/>
  <c r="K213" i="13"/>
  <c r="J213" i="13"/>
  <c r="E213" i="13"/>
  <c r="G213" i="13" s="1"/>
  <c r="D213" i="13"/>
  <c r="T212" i="13"/>
  <c r="U209" i="13"/>
  <c r="C215" i="13" l="1"/>
  <c r="H213" i="13"/>
  <c r="F213" i="13"/>
  <c r="I212" i="13"/>
  <c r="O213" i="13"/>
  <c r="M214" i="13"/>
  <c r="N214" i="13"/>
  <c r="L214" i="13"/>
  <c r="J214" i="13"/>
  <c r="K214" i="13"/>
  <c r="E214" i="13"/>
  <c r="G214" i="13" s="1"/>
  <c r="D214" i="13"/>
  <c r="T213" i="13"/>
  <c r="U210" i="13"/>
  <c r="C216" i="13" l="1"/>
  <c r="P213" i="13"/>
  <c r="H214" i="13"/>
  <c r="F214" i="13"/>
  <c r="I213" i="13"/>
  <c r="O214" i="13"/>
  <c r="P214" i="13" s="1"/>
  <c r="L215" i="13"/>
  <c r="M215" i="13"/>
  <c r="N215" i="13"/>
  <c r="K215" i="13"/>
  <c r="J215" i="13"/>
  <c r="E215" i="13"/>
  <c r="G215" i="13" s="1"/>
  <c r="D215" i="13"/>
  <c r="T214" i="13"/>
  <c r="U211" i="13"/>
  <c r="H215" i="13" l="1"/>
  <c r="C217" i="13"/>
  <c r="O215" i="13"/>
  <c r="F215" i="13"/>
  <c r="I214" i="13"/>
  <c r="P215" i="13"/>
  <c r="M216" i="13"/>
  <c r="N216" i="13"/>
  <c r="L216" i="13"/>
  <c r="K216" i="13"/>
  <c r="J216" i="13"/>
  <c r="D216" i="13"/>
  <c r="E216" i="13"/>
  <c r="G216" i="13" s="1"/>
  <c r="T215" i="13"/>
  <c r="U212" i="13"/>
  <c r="C218" i="13" l="1"/>
  <c r="H216" i="13"/>
  <c r="F216" i="13"/>
  <c r="I215" i="13"/>
  <c r="O216" i="13"/>
  <c r="P216" i="13" s="1"/>
  <c r="L217" i="13"/>
  <c r="M217" i="13"/>
  <c r="N217" i="13"/>
  <c r="K217" i="13"/>
  <c r="J217" i="13"/>
  <c r="E217" i="13"/>
  <c r="G217" i="13" s="1"/>
  <c r="D217" i="13"/>
  <c r="T216" i="13"/>
  <c r="U213" i="13"/>
  <c r="H217" i="13" l="1"/>
  <c r="C219" i="13"/>
  <c r="I216" i="13"/>
  <c r="F217" i="13"/>
  <c r="O217" i="13"/>
  <c r="P217" i="13" s="1"/>
  <c r="L218" i="13"/>
  <c r="K218" i="13"/>
  <c r="J218" i="13"/>
  <c r="N218" i="13"/>
  <c r="M218" i="13"/>
  <c r="E218" i="13"/>
  <c r="G218" i="13" s="1"/>
  <c r="D218" i="13"/>
  <c r="H218" i="13" s="1"/>
  <c r="T217" i="13"/>
  <c r="U214" i="13"/>
  <c r="C220" i="13" l="1"/>
  <c r="O218" i="13"/>
  <c r="P218" i="13" s="1"/>
  <c r="F218" i="13"/>
  <c r="I217" i="13"/>
  <c r="N219" i="13"/>
  <c r="M219" i="13"/>
  <c r="L219" i="13"/>
  <c r="K219" i="13"/>
  <c r="J219" i="13"/>
  <c r="E219" i="13"/>
  <c r="G219" i="13" s="1"/>
  <c r="D219" i="13"/>
  <c r="T218" i="13"/>
  <c r="U215" i="13"/>
  <c r="C221" i="13" l="1"/>
  <c r="H219" i="13"/>
  <c r="O219" i="13"/>
  <c r="F219" i="13"/>
  <c r="I218" i="13"/>
  <c r="P219" i="13"/>
  <c r="N220" i="13"/>
  <c r="L220" i="13"/>
  <c r="K220" i="13"/>
  <c r="J220" i="13"/>
  <c r="M220" i="13"/>
  <c r="E220" i="13"/>
  <c r="G220" i="13" s="1"/>
  <c r="D220" i="13"/>
  <c r="T219" i="13"/>
  <c r="U216" i="13"/>
  <c r="H220" i="13" l="1"/>
  <c r="C222" i="13"/>
  <c r="O220" i="13"/>
  <c r="P220" i="13" s="1"/>
  <c r="F220" i="13"/>
  <c r="I219" i="13"/>
  <c r="N221" i="13"/>
  <c r="M221" i="13"/>
  <c r="K221" i="13"/>
  <c r="L221" i="13"/>
  <c r="J221" i="13"/>
  <c r="E221" i="13"/>
  <c r="G221" i="13" s="1"/>
  <c r="D221" i="13"/>
  <c r="T220" i="13"/>
  <c r="U217" i="13"/>
  <c r="C223" i="13" l="1"/>
  <c r="H221" i="13"/>
  <c r="I220" i="13"/>
  <c r="F221" i="13"/>
  <c r="O221" i="13"/>
  <c r="N222" i="13"/>
  <c r="M222" i="13"/>
  <c r="K222" i="13"/>
  <c r="L222" i="13"/>
  <c r="J222" i="13"/>
  <c r="E222" i="13"/>
  <c r="G222" i="13" s="1"/>
  <c r="D222" i="13"/>
  <c r="T221" i="13"/>
  <c r="U218" i="13"/>
  <c r="H222" i="13" l="1"/>
  <c r="C224" i="13"/>
  <c r="P221" i="13"/>
  <c r="F222" i="13"/>
  <c r="I221" i="13"/>
  <c r="O222" i="13"/>
  <c r="P222" i="13" s="1"/>
  <c r="M223" i="13"/>
  <c r="N223" i="13"/>
  <c r="J223" i="13"/>
  <c r="K223" i="13"/>
  <c r="L223" i="13"/>
  <c r="E223" i="13"/>
  <c r="G223" i="13" s="1"/>
  <c r="D223" i="13"/>
  <c r="T222" i="13"/>
  <c r="U219" i="13"/>
  <c r="H223" i="13" l="1"/>
  <c r="C225" i="13"/>
  <c r="O223" i="13"/>
  <c r="F223" i="13"/>
  <c r="I222" i="13"/>
  <c r="M224" i="13"/>
  <c r="N224" i="13"/>
  <c r="J224" i="13"/>
  <c r="L224" i="13"/>
  <c r="K224" i="13"/>
  <c r="D224" i="13"/>
  <c r="E224" i="13"/>
  <c r="G224" i="13" s="1"/>
  <c r="T223" i="13"/>
  <c r="U220" i="13"/>
  <c r="P223" i="13" l="1"/>
  <c r="C226" i="13"/>
  <c r="O224" i="13"/>
  <c r="H224" i="13"/>
  <c r="F224" i="13"/>
  <c r="I223" i="13"/>
  <c r="M225" i="13"/>
  <c r="N225" i="13"/>
  <c r="L225" i="13"/>
  <c r="J225" i="13"/>
  <c r="K225" i="13"/>
  <c r="E225" i="13"/>
  <c r="G225" i="13" s="1"/>
  <c r="D225" i="13"/>
  <c r="T224" i="13"/>
  <c r="U221" i="13"/>
  <c r="C227" i="13" l="1"/>
  <c r="P224" i="13"/>
  <c r="O225" i="13"/>
  <c r="F225" i="13"/>
  <c r="I224" i="13"/>
  <c r="H225" i="13"/>
  <c r="M226" i="13"/>
  <c r="N226" i="13"/>
  <c r="L226" i="13"/>
  <c r="K226" i="13"/>
  <c r="J226" i="13"/>
  <c r="E226" i="13"/>
  <c r="G226" i="13" s="1"/>
  <c r="D226" i="13"/>
  <c r="T225" i="13"/>
  <c r="U222" i="13"/>
  <c r="H226" i="13" l="1"/>
  <c r="C228" i="13"/>
  <c r="P225" i="13"/>
  <c r="O226" i="13"/>
  <c r="P226" i="13" s="1"/>
  <c r="F226" i="13"/>
  <c r="I225" i="13"/>
  <c r="L227" i="13"/>
  <c r="M227" i="13"/>
  <c r="N227" i="13"/>
  <c r="J227" i="13"/>
  <c r="K227" i="13"/>
  <c r="E227" i="13"/>
  <c r="G227" i="13" s="1"/>
  <c r="D227" i="13"/>
  <c r="T226" i="13"/>
  <c r="U223" i="13"/>
  <c r="C229" i="13" l="1"/>
  <c r="H227" i="13"/>
  <c r="F227" i="13"/>
  <c r="I226" i="13"/>
  <c r="O227" i="13"/>
  <c r="M228" i="13"/>
  <c r="L228" i="13"/>
  <c r="N228" i="13"/>
  <c r="K228" i="13"/>
  <c r="J228" i="13"/>
  <c r="E228" i="13"/>
  <c r="G228" i="13" s="1"/>
  <c r="D228" i="13"/>
  <c r="T227" i="13"/>
  <c r="U224" i="13"/>
  <c r="H228" i="13" l="1"/>
  <c r="C230" i="13"/>
  <c r="P227" i="13"/>
  <c r="O228" i="13"/>
  <c r="P228" i="13" s="1"/>
  <c r="I227" i="13"/>
  <c r="F228" i="13"/>
  <c r="L229" i="13"/>
  <c r="M229" i="13"/>
  <c r="N229" i="13"/>
  <c r="K229" i="13"/>
  <c r="J229" i="13"/>
  <c r="E229" i="13"/>
  <c r="G229" i="13" s="1"/>
  <c r="D229" i="13"/>
  <c r="T228" i="13"/>
  <c r="U225" i="13"/>
  <c r="C231" i="13" l="1"/>
  <c r="H229" i="13"/>
  <c r="O229" i="13"/>
  <c r="P229" i="13" s="1"/>
  <c r="F229" i="13"/>
  <c r="I228" i="13"/>
  <c r="L230" i="13"/>
  <c r="N230" i="13"/>
  <c r="M230" i="13"/>
  <c r="K230" i="13"/>
  <c r="J230" i="13"/>
  <c r="E230" i="13"/>
  <c r="G230" i="13" s="1"/>
  <c r="D230" i="13"/>
  <c r="T229" i="13"/>
  <c r="U226" i="13"/>
  <c r="C232" i="13" l="1"/>
  <c r="H230" i="13"/>
  <c r="O230" i="13"/>
  <c r="F230" i="13"/>
  <c r="I229" i="13"/>
  <c r="N231" i="13"/>
  <c r="M231" i="13"/>
  <c r="L231" i="13"/>
  <c r="K231" i="13"/>
  <c r="J231" i="13"/>
  <c r="E231" i="13"/>
  <c r="G231" i="13" s="1"/>
  <c r="D231" i="13"/>
  <c r="T230" i="13"/>
  <c r="U227" i="13"/>
  <c r="P230" i="13" l="1"/>
  <c r="C233" i="13"/>
  <c r="H231" i="13"/>
  <c r="O231" i="13"/>
  <c r="F231" i="13"/>
  <c r="I230" i="13"/>
  <c r="N232" i="13"/>
  <c r="L232" i="13"/>
  <c r="K232" i="13"/>
  <c r="M232" i="13"/>
  <c r="J232" i="13"/>
  <c r="D232" i="13"/>
  <c r="E232" i="13"/>
  <c r="G232" i="13" s="1"/>
  <c r="T231" i="13"/>
  <c r="U228" i="13"/>
  <c r="P231" i="13" l="1"/>
  <c r="C234" i="13"/>
  <c r="H232" i="13"/>
  <c r="F232" i="13"/>
  <c r="I231" i="13"/>
  <c r="O232" i="13"/>
  <c r="P232" i="13" s="1"/>
  <c r="N233" i="13"/>
  <c r="M233" i="13"/>
  <c r="L233" i="13"/>
  <c r="J233" i="13"/>
  <c r="K233" i="13"/>
  <c r="E233" i="13"/>
  <c r="G233" i="13" s="1"/>
  <c r="D233" i="13"/>
  <c r="T232" i="13"/>
  <c r="U229" i="13"/>
  <c r="C235" i="13" l="1"/>
  <c r="H233" i="13"/>
  <c r="O233" i="13"/>
  <c r="P233" i="13" s="1"/>
  <c r="F233" i="13"/>
  <c r="I232" i="13"/>
  <c r="N234" i="13"/>
  <c r="M234" i="13"/>
  <c r="L234" i="13"/>
  <c r="J234" i="13"/>
  <c r="K234" i="13"/>
  <c r="E234" i="13"/>
  <c r="G234" i="13" s="1"/>
  <c r="D234" i="13"/>
  <c r="T233" i="13"/>
  <c r="U230" i="13"/>
  <c r="C236" i="13" l="1"/>
  <c r="H234" i="13"/>
  <c r="F234" i="13"/>
  <c r="I233" i="13"/>
  <c r="O234" i="13"/>
  <c r="M235" i="13"/>
  <c r="N235" i="13"/>
  <c r="K235" i="13"/>
  <c r="L235" i="13"/>
  <c r="J235" i="13"/>
  <c r="E235" i="13"/>
  <c r="G235" i="13" s="1"/>
  <c r="D235" i="13"/>
  <c r="T234" i="13"/>
  <c r="U231" i="13"/>
  <c r="C237" i="13" l="1"/>
  <c r="H235" i="13"/>
  <c r="P234" i="13"/>
  <c r="F235" i="13"/>
  <c r="I234" i="13"/>
  <c r="O235" i="13"/>
  <c r="P235" i="13" s="1"/>
  <c r="M236" i="13"/>
  <c r="N236" i="13"/>
  <c r="L236" i="13"/>
  <c r="J236" i="13"/>
  <c r="K236" i="13"/>
  <c r="E236" i="13"/>
  <c r="G236" i="13" s="1"/>
  <c r="D236" i="13"/>
  <c r="T235" i="13"/>
  <c r="U232" i="13"/>
  <c r="H236" i="13" l="1"/>
  <c r="C238" i="13"/>
  <c r="O236" i="13"/>
  <c r="P236" i="13" s="1"/>
  <c r="F236" i="13"/>
  <c r="I235" i="13"/>
  <c r="M237" i="13"/>
  <c r="N237" i="13"/>
  <c r="L237" i="13"/>
  <c r="K237" i="13"/>
  <c r="J237" i="13"/>
  <c r="E237" i="13"/>
  <c r="G237" i="13" s="1"/>
  <c r="D237" i="13"/>
  <c r="H237" i="13" s="1"/>
  <c r="T236" i="13"/>
  <c r="U233" i="13"/>
  <c r="C239" i="13" l="1"/>
  <c r="F237" i="13"/>
  <c r="I236" i="13"/>
  <c r="O237" i="13"/>
  <c r="M238" i="13"/>
  <c r="N238" i="13"/>
  <c r="L238" i="13"/>
  <c r="K238" i="13"/>
  <c r="J238" i="13"/>
  <c r="E238" i="13"/>
  <c r="G238" i="13" s="1"/>
  <c r="D238" i="13"/>
  <c r="T237" i="13"/>
  <c r="U234" i="13"/>
  <c r="C240" i="13" l="1"/>
  <c r="H238" i="13"/>
  <c r="F238" i="13"/>
  <c r="I237" i="13"/>
  <c r="O238" i="13"/>
  <c r="P237" i="13"/>
  <c r="L239" i="13"/>
  <c r="M239" i="13"/>
  <c r="N239" i="13"/>
  <c r="J239" i="13"/>
  <c r="K239" i="13"/>
  <c r="E239" i="13"/>
  <c r="G239" i="13" s="1"/>
  <c r="D239" i="13"/>
  <c r="T238" i="13"/>
  <c r="U235" i="13"/>
  <c r="H239" i="13" l="1"/>
  <c r="C241" i="13"/>
  <c r="O239" i="13"/>
  <c r="P239" i="13" s="1"/>
  <c r="F239" i="13"/>
  <c r="I238" i="13"/>
  <c r="P238" i="13"/>
  <c r="M240" i="13"/>
  <c r="J240" i="13"/>
  <c r="N240" i="13"/>
  <c r="L240" i="13"/>
  <c r="K240" i="13"/>
  <c r="D240" i="13"/>
  <c r="E240" i="13"/>
  <c r="G240" i="13" s="1"/>
  <c r="T239" i="13"/>
  <c r="U236" i="13"/>
  <c r="C242" i="13" l="1"/>
  <c r="H240" i="13"/>
  <c r="F240" i="13"/>
  <c r="I239" i="13"/>
  <c r="O240" i="13"/>
  <c r="L241" i="13"/>
  <c r="M241" i="13"/>
  <c r="K241" i="13"/>
  <c r="J241" i="13"/>
  <c r="N241" i="13"/>
  <c r="E241" i="13"/>
  <c r="G241" i="13" s="1"/>
  <c r="D241" i="13"/>
  <c r="T240" i="13"/>
  <c r="U237" i="13"/>
  <c r="C243" i="13" l="1"/>
  <c r="H241" i="13"/>
  <c r="P240" i="13"/>
  <c r="F241" i="13"/>
  <c r="I240" i="13"/>
  <c r="O241" i="13"/>
  <c r="P241" i="13" s="1"/>
  <c r="N242" i="13"/>
  <c r="L242" i="13"/>
  <c r="M242" i="13"/>
  <c r="K242" i="13"/>
  <c r="J242" i="13"/>
  <c r="E242" i="13"/>
  <c r="G242" i="13" s="1"/>
  <c r="D242" i="13"/>
  <c r="T241" i="13"/>
  <c r="U238" i="13"/>
  <c r="H242" i="13" l="1"/>
  <c r="C244" i="13"/>
  <c r="O242" i="13"/>
  <c r="P242" i="13" s="1"/>
  <c r="F242" i="13"/>
  <c r="I241" i="13"/>
  <c r="N243" i="13"/>
  <c r="K243" i="13"/>
  <c r="M243" i="13"/>
  <c r="J243" i="13"/>
  <c r="L243" i="13"/>
  <c r="E243" i="13"/>
  <c r="G243" i="13" s="1"/>
  <c r="D243" i="13"/>
  <c r="T242" i="13"/>
  <c r="U239" i="13"/>
  <c r="C245" i="13" l="1"/>
  <c r="H243" i="13"/>
  <c r="F243" i="13"/>
  <c r="I242" i="13"/>
  <c r="O243" i="13"/>
  <c r="N244" i="13"/>
  <c r="L244" i="13"/>
  <c r="K244" i="13"/>
  <c r="J244" i="13"/>
  <c r="M244" i="13"/>
  <c r="E244" i="13"/>
  <c r="G244" i="13" s="1"/>
  <c r="D244" i="13"/>
  <c r="T243" i="13"/>
  <c r="U240" i="13"/>
  <c r="C246" i="13" l="1"/>
  <c r="H244" i="13"/>
  <c r="P243" i="13"/>
  <c r="F244" i="13"/>
  <c r="I243" i="13"/>
  <c r="O244" i="13"/>
  <c r="P244" i="13" s="1"/>
  <c r="N245" i="13"/>
  <c r="L245" i="13"/>
  <c r="K245" i="13"/>
  <c r="J245" i="13"/>
  <c r="M245" i="13"/>
  <c r="E245" i="13"/>
  <c r="G245" i="13" s="1"/>
  <c r="D245" i="13"/>
  <c r="T244" i="13"/>
  <c r="U241" i="13"/>
  <c r="C247" i="13" l="1"/>
  <c r="O245" i="13"/>
  <c r="H245" i="13"/>
  <c r="I244" i="13"/>
  <c r="F245" i="13"/>
  <c r="N246" i="13"/>
  <c r="L246" i="13"/>
  <c r="J246" i="13"/>
  <c r="M246" i="13"/>
  <c r="K246" i="13"/>
  <c r="E246" i="13"/>
  <c r="G246" i="13" s="1"/>
  <c r="D246" i="13"/>
  <c r="T245" i="13"/>
  <c r="U242" i="13"/>
  <c r="H246" i="13" l="1"/>
  <c r="C248" i="13"/>
  <c r="P245" i="13"/>
  <c r="F246" i="13"/>
  <c r="I245" i="13"/>
  <c r="O246" i="13"/>
  <c r="P246" i="13" s="1"/>
  <c r="M247" i="13"/>
  <c r="N247" i="13"/>
  <c r="L247" i="13"/>
  <c r="K247" i="13"/>
  <c r="J247" i="13"/>
  <c r="E247" i="13"/>
  <c r="G247" i="13" s="1"/>
  <c r="D247" i="13"/>
  <c r="T246" i="13"/>
  <c r="U243" i="13"/>
  <c r="C249" i="13" l="1"/>
  <c r="O247" i="13"/>
  <c r="H247" i="13"/>
  <c r="F247" i="13"/>
  <c r="I246" i="13"/>
  <c r="M248" i="13"/>
  <c r="N248" i="13"/>
  <c r="L248" i="13"/>
  <c r="J248" i="13"/>
  <c r="K248" i="13"/>
  <c r="D248" i="13"/>
  <c r="E248" i="13"/>
  <c r="G248" i="13" s="1"/>
  <c r="T247" i="13"/>
  <c r="U244" i="13"/>
  <c r="C250" i="13" l="1"/>
  <c r="P247" i="13"/>
  <c r="F248" i="13"/>
  <c r="I247" i="13"/>
  <c r="H248" i="13"/>
  <c r="O248" i="13"/>
  <c r="M249" i="13"/>
  <c r="N249" i="13"/>
  <c r="L249" i="13"/>
  <c r="K249" i="13"/>
  <c r="J249" i="13"/>
  <c r="E249" i="13"/>
  <c r="G249" i="13" s="1"/>
  <c r="D249" i="13"/>
  <c r="T248" i="13"/>
  <c r="U245" i="13"/>
  <c r="C251" i="13" l="1"/>
  <c r="P248" i="13"/>
  <c r="O249" i="13"/>
  <c r="H249" i="13"/>
  <c r="F249" i="13"/>
  <c r="I248" i="13"/>
  <c r="M250" i="13"/>
  <c r="N250" i="13"/>
  <c r="L250" i="13"/>
  <c r="K250" i="13"/>
  <c r="J250" i="13"/>
  <c r="E250" i="13"/>
  <c r="G250" i="13" s="1"/>
  <c r="D250" i="13"/>
  <c r="T249" i="13"/>
  <c r="U246" i="13"/>
  <c r="C252" i="13" l="1"/>
  <c r="P249" i="13"/>
  <c r="O250" i="13"/>
  <c r="H250" i="13"/>
  <c r="F250" i="13"/>
  <c r="I249" i="13"/>
  <c r="L251" i="13"/>
  <c r="M251" i="13"/>
  <c r="N251" i="13"/>
  <c r="J251" i="13"/>
  <c r="K251" i="13"/>
  <c r="E251" i="13"/>
  <c r="G251" i="13" s="1"/>
  <c r="D251" i="13"/>
  <c r="T250" i="13"/>
  <c r="U247" i="13"/>
  <c r="C253" i="13" l="1"/>
  <c r="P250" i="13"/>
  <c r="O251" i="13"/>
  <c r="H251" i="13"/>
  <c r="F251" i="13"/>
  <c r="I250" i="13"/>
  <c r="M252" i="13"/>
  <c r="N252" i="13"/>
  <c r="J252" i="13"/>
  <c r="L252" i="13"/>
  <c r="K252" i="13"/>
  <c r="E252" i="13"/>
  <c r="G252" i="13" s="1"/>
  <c r="D252" i="13"/>
  <c r="T251" i="13"/>
  <c r="U248" i="13"/>
  <c r="P251" i="13" l="1"/>
  <c r="C254" i="13"/>
  <c r="H252" i="13"/>
  <c r="F252" i="13"/>
  <c r="I251" i="13"/>
  <c r="O252" i="13"/>
  <c r="L253" i="13"/>
  <c r="M253" i="13"/>
  <c r="J253" i="13"/>
  <c r="N253" i="13"/>
  <c r="K253" i="13"/>
  <c r="E253" i="13"/>
  <c r="G253" i="13" s="1"/>
  <c r="D253" i="13"/>
  <c r="T252" i="13"/>
  <c r="U249" i="13"/>
  <c r="C255" i="13" l="1"/>
  <c r="H253" i="13"/>
  <c r="F253" i="13"/>
  <c r="I252" i="13"/>
  <c r="O253" i="13"/>
  <c r="P252" i="13"/>
  <c r="N254" i="13"/>
  <c r="K254" i="13"/>
  <c r="J254" i="13"/>
  <c r="L254" i="13"/>
  <c r="M254" i="13"/>
  <c r="E254" i="13"/>
  <c r="G254" i="13" s="1"/>
  <c r="D254" i="13"/>
  <c r="T253" i="13"/>
  <c r="U250" i="13"/>
  <c r="P253" i="13" l="1"/>
  <c r="C256" i="13"/>
  <c r="H254" i="13"/>
  <c r="F254" i="13"/>
  <c r="I253" i="13"/>
  <c r="O254" i="13"/>
  <c r="N255" i="13"/>
  <c r="M255" i="13"/>
  <c r="K255" i="13"/>
  <c r="J255" i="13"/>
  <c r="L255" i="13"/>
  <c r="E255" i="13"/>
  <c r="G255" i="13" s="1"/>
  <c r="D255" i="13"/>
  <c r="T254" i="13"/>
  <c r="U251" i="13"/>
  <c r="C257" i="13" l="1"/>
  <c r="H255" i="13"/>
  <c r="F255" i="13"/>
  <c r="I254" i="13"/>
  <c r="O255" i="13"/>
  <c r="P255" i="13" s="1"/>
  <c r="P254" i="13"/>
  <c r="N256" i="13"/>
  <c r="L256" i="13"/>
  <c r="K256" i="13"/>
  <c r="J256" i="13"/>
  <c r="M256" i="13"/>
  <c r="D256" i="13"/>
  <c r="E256" i="13"/>
  <c r="G256" i="13" s="1"/>
  <c r="T255" i="13"/>
  <c r="U252" i="13"/>
  <c r="C258" i="13" l="1"/>
  <c r="H256" i="13"/>
  <c r="F256" i="13"/>
  <c r="I255" i="13"/>
  <c r="O256" i="13"/>
  <c r="P256" i="13" s="1"/>
  <c r="N257" i="13"/>
  <c r="M257" i="13"/>
  <c r="K257" i="13"/>
  <c r="L257" i="13"/>
  <c r="J257" i="13"/>
  <c r="E257" i="13"/>
  <c r="G257" i="13" s="1"/>
  <c r="D257" i="13"/>
  <c r="T256" i="13"/>
  <c r="U253" i="13"/>
  <c r="C259" i="13" l="1"/>
  <c r="O257" i="13"/>
  <c r="H257" i="13"/>
  <c r="F257" i="13"/>
  <c r="I256" i="13"/>
  <c r="N258" i="13"/>
  <c r="L258" i="13"/>
  <c r="M258" i="13"/>
  <c r="K258" i="13"/>
  <c r="J258" i="13"/>
  <c r="E258" i="13"/>
  <c r="G258" i="13" s="1"/>
  <c r="D258" i="13"/>
  <c r="T257" i="13"/>
  <c r="U254" i="13"/>
  <c r="C260" i="13" l="1"/>
  <c r="H258" i="13"/>
  <c r="P257" i="13"/>
  <c r="O258" i="13"/>
  <c r="F258" i="13"/>
  <c r="I257" i="13"/>
  <c r="M259" i="13"/>
  <c r="N259" i="13"/>
  <c r="L259" i="13"/>
  <c r="K259" i="13"/>
  <c r="J259" i="13"/>
  <c r="E259" i="13"/>
  <c r="G259" i="13" s="1"/>
  <c r="D259" i="13"/>
  <c r="T258" i="13"/>
  <c r="U255" i="13"/>
  <c r="P258" i="13" l="1"/>
  <c r="C261" i="13"/>
  <c r="O259" i="13"/>
  <c r="H259" i="13"/>
  <c r="I258" i="13"/>
  <c r="F259" i="13"/>
  <c r="M260" i="13"/>
  <c r="N260" i="13"/>
  <c r="L260" i="13"/>
  <c r="J260" i="13"/>
  <c r="K260" i="13"/>
  <c r="E260" i="13"/>
  <c r="G260" i="13" s="1"/>
  <c r="D260" i="13"/>
  <c r="T259" i="13"/>
  <c r="U256" i="13"/>
  <c r="C262" i="13" l="1"/>
  <c r="H260" i="13"/>
  <c r="P259" i="13"/>
  <c r="F260" i="13"/>
  <c r="I259" i="13"/>
  <c r="O260" i="13"/>
  <c r="P260" i="13" s="1"/>
  <c r="M261" i="13"/>
  <c r="N261" i="13"/>
  <c r="L261" i="13"/>
  <c r="K261" i="13"/>
  <c r="J261" i="13"/>
  <c r="E261" i="13"/>
  <c r="G261" i="13" s="1"/>
  <c r="D261" i="13"/>
  <c r="T260" i="13"/>
  <c r="U257" i="13"/>
  <c r="C263" i="13" l="1"/>
  <c r="O261" i="13"/>
  <c r="H261" i="13"/>
  <c r="F261" i="13"/>
  <c r="I260" i="13"/>
  <c r="M262" i="13"/>
  <c r="N262" i="13"/>
  <c r="L262" i="13"/>
  <c r="K262" i="13"/>
  <c r="J262" i="13"/>
  <c r="E262" i="13"/>
  <c r="G262" i="13" s="1"/>
  <c r="D262" i="13"/>
  <c r="T261" i="13"/>
  <c r="U258" i="13"/>
  <c r="C264" i="13" l="1"/>
  <c r="P261" i="13"/>
  <c r="O262" i="13"/>
  <c r="H262" i="13"/>
  <c r="F262" i="13"/>
  <c r="I261" i="13"/>
  <c r="L263" i="13"/>
  <c r="M263" i="13"/>
  <c r="N263" i="13"/>
  <c r="J263" i="13"/>
  <c r="K263" i="13"/>
  <c r="E263" i="13"/>
  <c r="G263" i="13" s="1"/>
  <c r="D263" i="13"/>
  <c r="T262" i="13"/>
  <c r="U259" i="13"/>
  <c r="C265" i="13" l="1"/>
  <c r="H263" i="13"/>
  <c r="P262" i="13"/>
  <c r="F263" i="13"/>
  <c r="I262" i="13"/>
  <c r="O263" i="13"/>
  <c r="P263" i="13" s="1"/>
  <c r="M264" i="13"/>
  <c r="N264" i="13"/>
  <c r="L264" i="13"/>
  <c r="J264" i="13"/>
  <c r="K264" i="13"/>
  <c r="E264" i="13"/>
  <c r="G264" i="13" s="1"/>
  <c r="D264" i="13"/>
  <c r="T263" i="13"/>
  <c r="U260" i="13"/>
  <c r="H264" i="13" l="1"/>
  <c r="C266" i="13"/>
  <c r="O264" i="13"/>
  <c r="P264" i="13" s="1"/>
  <c r="F264" i="13"/>
  <c r="I263" i="13"/>
  <c r="L265" i="13"/>
  <c r="M265" i="13"/>
  <c r="N265" i="13"/>
  <c r="J265" i="13"/>
  <c r="K265" i="13"/>
  <c r="E265" i="13"/>
  <c r="G265" i="13" s="1"/>
  <c r="D265" i="13"/>
  <c r="T264" i="13"/>
  <c r="U261" i="13"/>
  <c r="C267" i="13" l="1"/>
  <c r="H265" i="13"/>
  <c r="F265" i="13"/>
  <c r="I264" i="13"/>
  <c r="O265" i="13"/>
  <c r="P265" i="13" s="1"/>
  <c r="M266" i="13"/>
  <c r="L266" i="13"/>
  <c r="J266" i="13"/>
  <c r="N266" i="13"/>
  <c r="K266" i="13"/>
  <c r="E266" i="13"/>
  <c r="G266" i="13" s="1"/>
  <c r="D266" i="13"/>
  <c r="T265" i="13"/>
  <c r="U262" i="13"/>
  <c r="C268" i="13" l="1"/>
  <c r="H266" i="13"/>
  <c r="F266" i="13"/>
  <c r="I265" i="13"/>
  <c r="O266" i="13"/>
  <c r="N267" i="13"/>
  <c r="K267" i="13"/>
  <c r="L267" i="13"/>
  <c r="M267" i="13"/>
  <c r="J267" i="13"/>
  <c r="E267" i="13"/>
  <c r="G267" i="13" s="1"/>
  <c r="D267" i="13"/>
  <c r="T266" i="13"/>
  <c r="U263" i="13"/>
  <c r="C269" i="13" l="1"/>
  <c r="H267" i="13"/>
  <c r="O267" i="13"/>
  <c r="P267" i="13" s="1"/>
  <c r="F267" i="13"/>
  <c r="I266" i="13"/>
  <c r="P266" i="13"/>
  <c r="N268" i="13"/>
  <c r="L268" i="13"/>
  <c r="K268" i="13"/>
  <c r="M268" i="13"/>
  <c r="J268" i="13"/>
  <c r="E268" i="13"/>
  <c r="G268" i="13" s="1"/>
  <c r="D268" i="13"/>
  <c r="T267" i="13"/>
  <c r="U264" i="13"/>
  <c r="H268" i="13" l="1"/>
  <c r="C270" i="13"/>
  <c r="F268" i="13"/>
  <c r="I267" i="13"/>
  <c r="O268" i="13"/>
  <c r="P268" i="13" s="1"/>
  <c r="N269" i="13"/>
  <c r="M269" i="13"/>
  <c r="K269" i="13"/>
  <c r="L269" i="13"/>
  <c r="J269" i="13"/>
  <c r="E269" i="13"/>
  <c r="G269" i="13" s="1"/>
  <c r="D269" i="13"/>
  <c r="T268" i="13"/>
  <c r="U265" i="13"/>
  <c r="H269" i="13" l="1"/>
  <c r="C271" i="13"/>
  <c r="O269" i="13"/>
  <c r="P269" i="13" s="1"/>
  <c r="F269" i="13"/>
  <c r="I268" i="13"/>
  <c r="N270" i="13"/>
  <c r="K270" i="13"/>
  <c r="M270" i="13"/>
  <c r="J270" i="13"/>
  <c r="L270" i="13"/>
  <c r="E270" i="13"/>
  <c r="G270" i="13" s="1"/>
  <c r="D270" i="13"/>
  <c r="T269" i="13"/>
  <c r="U267" i="13"/>
  <c r="U266" i="13"/>
  <c r="H270" i="13" l="1"/>
  <c r="C272" i="13"/>
  <c r="F270" i="13"/>
  <c r="I269" i="13"/>
  <c r="O270" i="13"/>
  <c r="M271" i="13"/>
  <c r="N271" i="13"/>
  <c r="K271" i="13"/>
  <c r="J271" i="13"/>
  <c r="L271" i="13"/>
  <c r="E271" i="13"/>
  <c r="G271" i="13" s="1"/>
  <c r="D271" i="13"/>
  <c r="T270" i="13"/>
  <c r="U268" i="13"/>
  <c r="H271" i="13" l="1"/>
  <c r="C273" i="13"/>
  <c r="O271" i="13"/>
  <c r="P271" i="13" s="1"/>
  <c r="F271" i="13"/>
  <c r="I270" i="13"/>
  <c r="P270" i="13"/>
  <c r="M272" i="13"/>
  <c r="N272" i="13"/>
  <c r="J272" i="13"/>
  <c r="K272" i="13"/>
  <c r="L272" i="13"/>
  <c r="E272" i="13"/>
  <c r="G272" i="13" s="1"/>
  <c r="D272" i="13"/>
  <c r="T271" i="13"/>
  <c r="U269" i="13"/>
  <c r="C274" i="13" l="1"/>
  <c r="H272" i="13"/>
  <c r="F272" i="13"/>
  <c r="I271" i="13"/>
  <c r="O272" i="13"/>
  <c r="P272" i="13" s="1"/>
  <c r="M273" i="13"/>
  <c r="N273" i="13"/>
  <c r="L273" i="13"/>
  <c r="J273" i="13"/>
  <c r="K273" i="13"/>
  <c r="E273" i="13"/>
  <c r="G273" i="13" s="1"/>
  <c r="D273" i="13"/>
  <c r="T272" i="13"/>
  <c r="U270" i="13"/>
  <c r="C275" i="13" l="1"/>
  <c r="H273" i="13"/>
  <c r="F273" i="13"/>
  <c r="I272" i="13"/>
  <c r="O273" i="13"/>
  <c r="M274" i="13"/>
  <c r="N274" i="13"/>
  <c r="L274" i="13"/>
  <c r="J274" i="13"/>
  <c r="K274" i="13"/>
  <c r="E274" i="13"/>
  <c r="G274" i="13" s="1"/>
  <c r="D274" i="13"/>
  <c r="T273" i="13"/>
  <c r="U271" i="13"/>
  <c r="H274" i="13" l="1"/>
  <c r="C276" i="13"/>
  <c r="P273" i="13"/>
  <c r="F274" i="13"/>
  <c r="I273" i="13"/>
  <c r="O274" i="13"/>
  <c r="L275" i="13"/>
  <c r="M275" i="13"/>
  <c r="N275" i="13"/>
  <c r="J275" i="13"/>
  <c r="K275" i="13"/>
  <c r="E275" i="13"/>
  <c r="G275" i="13" s="1"/>
  <c r="D275" i="13"/>
  <c r="H275" i="13" s="1"/>
  <c r="T274" i="13"/>
  <c r="U272" i="13"/>
  <c r="C277" i="13" l="1"/>
  <c r="O275" i="13"/>
  <c r="P275" i="13" s="1"/>
  <c r="F275" i="13"/>
  <c r="I274" i="13"/>
  <c r="P274" i="13"/>
  <c r="M276" i="13"/>
  <c r="L276" i="13"/>
  <c r="N276" i="13"/>
  <c r="J276" i="13"/>
  <c r="K276" i="13"/>
  <c r="E276" i="13"/>
  <c r="G276" i="13" s="1"/>
  <c r="D276" i="13"/>
  <c r="H276" i="13" s="1"/>
  <c r="T275" i="13"/>
  <c r="U273" i="13"/>
  <c r="C278" i="13" l="1"/>
  <c r="F276" i="13"/>
  <c r="I275" i="13"/>
  <c r="O276" i="13"/>
  <c r="P276" i="13" s="1"/>
  <c r="L277" i="13"/>
  <c r="M277" i="13"/>
  <c r="J277" i="13"/>
  <c r="K277" i="13"/>
  <c r="N277" i="13"/>
  <c r="E277" i="13"/>
  <c r="G277" i="13" s="1"/>
  <c r="D277" i="13"/>
  <c r="T276" i="13"/>
  <c r="U274" i="13"/>
  <c r="C279" i="13" l="1"/>
  <c r="H277" i="13"/>
  <c r="F277" i="13"/>
  <c r="I276" i="13"/>
  <c r="O277" i="13"/>
  <c r="P277" i="13" s="1"/>
  <c r="L278" i="13"/>
  <c r="M278" i="13"/>
  <c r="J278" i="13"/>
  <c r="K278" i="13"/>
  <c r="N278" i="13"/>
  <c r="E278" i="13"/>
  <c r="G278" i="13" s="1"/>
  <c r="D278" i="13"/>
  <c r="T277" i="13"/>
  <c r="U275" i="13"/>
  <c r="H278" i="13" l="1"/>
  <c r="C280" i="13"/>
  <c r="F278" i="13"/>
  <c r="I277" i="13"/>
  <c r="O278" i="13"/>
  <c r="N279" i="13"/>
  <c r="L279" i="13"/>
  <c r="M279" i="13"/>
  <c r="J279" i="13"/>
  <c r="K279" i="13"/>
  <c r="E279" i="13"/>
  <c r="G279" i="13" s="1"/>
  <c r="D279" i="13"/>
  <c r="T278" i="13"/>
  <c r="U276" i="13"/>
  <c r="C281" i="13" l="1"/>
  <c r="H279" i="13"/>
  <c r="O279" i="13"/>
  <c r="F279" i="13"/>
  <c r="I278" i="13"/>
  <c r="P278" i="13"/>
  <c r="N280" i="13"/>
  <c r="L280" i="13"/>
  <c r="K280" i="13"/>
  <c r="M280" i="13"/>
  <c r="J280" i="13"/>
  <c r="D280" i="13"/>
  <c r="E280" i="13"/>
  <c r="G280" i="13" s="1"/>
  <c r="T279" i="13"/>
  <c r="U277" i="13"/>
  <c r="C282" i="13" l="1"/>
  <c r="P279" i="13"/>
  <c r="O280" i="13"/>
  <c r="H280" i="13"/>
  <c r="F280" i="13"/>
  <c r="I279" i="13"/>
  <c r="N281" i="13"/>
  <c r="M281" i="13"/>
  <c r="K281" i="13"/>
  <c r="L281" i="13"/>
  <c r="J281" i="13"/>
  <c r="E281" i="13"/>
  <c r="G281" i="13" s="1"/>
  <c r="D281" i="13"/>
  <c r="T280" i="13"/>
  <c r="U278" i="13"/>
  <c r="C283" i="13" l="1"/>
  <c r="P280" i="13"/>
  <c r="O281" i="13"/>
  <c r="H281" i="13"/>
  <c r="F281" i="13"/>
  <c r="I280" i="13"/>
  <c r="N282" i="13"/>
  <c r="K282" i="13"/>
  <c r="M282" i="13"/>
  <c r="L282" i="13"/>
  <c r="J282" i="13"/>
  <c r="E282" i="13"/>
  <c r="G282" i="13" s="1"/>
  <c r="D282" i="13"/>
  <c r="T281" i="13"/>
  <c r="U279" i="13"/>
  <c r="C284" i="13" l="1"/>
  <c r="H282" i="13"/>
  <c r="P281" i="13"/>
  <c r="O282" i="13"/>
  <c r="F282" i="13"/>
  <c r="I281" i="13"/>
  <c r="M283" i="13"/>
  <c r="N283" i="13"/>
  <c r="K283" i="13"/>
  <c r="L283" i="13"/>
  <c r="J283" i="13"/>
  <c r="E283" i="13"/>
  <c r="G283" i="13" s="1"/>
  <c r="D283" i="13"/>
  <c r="T282" i="13"/>
  <c r="U280" i="13"/>
  <c r="C285" i="13" l="1"/>
  <c r="P282" i="13"/>
  <c r="H283" i="13"/>
  <c r="F283" i="13"/>
  <c r="I282" i="13"/>
  <c r="O283" i="13"/>
  <c r="M284" i="13"/>
  <c r="N284" i="13"/>
  <c r="L284" i="13"/>
  <c r="K284" i="13"/>
  <c r="J284" i="13"/>
  <c r="E284" i="13"/>
  <c r="G284" i="13" s="1"/>
  <c r="D284" i="13"/>
  <c r="T283" i="13"/>
  <c r="U281" i="13"/>
  <c r="C286" i="13" l="1"/>
  <c r="P283" i="13"/>
  <c r="H284" i="13"/>
  <c r="O284" i="13"/>
  <c r="F284" i="13"/>
  <c r="I283" i="13"/>
  <c r="M285" i="13"/>
  <c r="N285" i="13"/>
  <c r="L285" i="13"/>
  <c r="J285" i="13"/>
  <c r="K285" i="13"/>
  <c r="E285" i="13"/>
  <c r="G285" i="13" s="1"/>
  <c r="D285" i="13"/>
  <c r="T284" i="13"/>
  <c r="U282" i="13"/>
  <c r="C287" i="13" l="1"/>
  <c r="P284" i="13"/>
  <c r="H285" i="13"/>
  <c r="F285" i="13"/>
  <c r="I284" i="13"/>
  <c r="O285" i="13"/>
  <c r="M286" i="13"/>
  <c r="N286" i="13"/>
  <c r="L286" i="13"/>
  <c r="K286" i="13"/>
  <c r="J286" i="13"/>
  <c r="E286" i="13"/>
  <c r="G286" i="13" s="1"/>
  <c r="D286" i="13"/>
  <c r="T285" i="13"/>
  <c r="U283" i="13"/>
  <c r="C288" i="13" l="1"/>
  <c r="H286" i="13"/>
  <c r="O286" i="13"/>
  <c r="P286" i="13" s="1"/>
  <c r="F286" i="13"/>
  <c r="I285" i="13"/>
  <c r="P285" i="13"/>
  <c r="L287" i="13"/>
  <c r="M287" i="13"/>
  <c r="N287" i="13"/>
  <c r="J287" i="13"/>
  <c r="K287" i="13"/>
  <c r="E287" i="13"/>
  <c r="G287" i="13" s="1"/>
  <c r="D287" i="13"/>
  <c r="T286" i="13"/>
  <c r="U284" i="13"/>
  <c r="C289" i="13" l="1"/>
  <c r="H287" i="13"/>
  <c r="O287" i="13"/>
  <c r="P287" i="13" s="1"/>
  <c r="F287" i="13"/>
  <c r="I286" i="13"/>
  <c r="M288" i="13"/>
  <c r="J288" i="13"/>
  <c r="L288" i="13"/>
  <c r="N288" i="13"/>
  <c r="K288" i="13"/>
  <c r="D288" i="13"/>
  <c r="E288" i="13"/>
  <c r="G288" i="13" s="1"/>
  <c r="T287" i="13"/>
  <c r="U285" i="13"/>
  <c r="C290" i="13" l="1"/>
  <c r="H288" i="13"/>
  <c r="F288" i="13"/>
  <c r="I287" i="13"/>
  <c r="O288" i="13"/>
  <c r="P288" i="13" s="1"/>
  <c r="M289" i="13"/>
  <c r="L289" i="13"/>
  <c r="J289" i="13"/>
  <c r="K289" i="13"/>
  <c r="N289" i="13"/>
  <c r="E289" i="13"/>
  <c r="G289" i="13" s="1"/>
  <c r="D289" i="13"/>
  <c r="T288" i="13"/>
  <c r="U286" i="13"/>
  <c r="H289" i="13" l="1"/>
  <c r="C291" i="13"/>
  <c r="F289" i="13"/>
  <c r="I288" i="13"/>
  <c r="O289" i="13"/>
  <c r="P289" i="13" s="1"/>
  <c r="N290" i="13"/>
  <c r="M290" i="13"/>
  <c r="J290" i="13"/>
  <c r="L290" i="13"/>
  <c r="K290" i="13"/>
  <c r="E290" i="13"/>
  <c r="G290" i="13" s="1"/>
  <c r="D290" i="13"/>
  <c r="T289" i="13"/>
  <c r="U287" i="13"/>
  <c r="H290" i="13" l="1"/>
  <c r="C292" i="13"/>
  <c r="F290" i="13"/>
  <c r="I289" i="13"/>
  <c r="O290" i="13"/>
  <c r="N291" i="13"/>
  <c r="L291" i="13"/>
  <c r="M291" i="13"/>
  <c r="K291" i="13"/>
  <c r="J291" i="13"/>
  <c r="E291" i="13"/>
  <c r="G291" i="13" s="1"/>
  <c r="D291" i="13"/>
  <c r="T290" i="13"/>
  <c r="U288" i="13"/>
  <c r="H291" i="13" l="1"/>
  <c r="C293" i="13"/>
  <c r="O291" i="13"/>
  <c r="P291" i="13" s="1"/>
  <c r="F291" i="13"/>
  <c r="I290" i="13"/>
  <c r="P290" i="13"/>
  <c r="N292" i="13"/>
  <c r="L292" i="13"/>
  <c r="K292" i="13"/>
  <c r="M292" i="13"/>
  <c r="J292" i="13"/>
  <c r="E292" i="13"/>
  <c r="G292" i="13" s="1"/>
  <c r="D292" i="13"/>
  <c r="T291" i="13"/>
  <c r="U289" i="13"/>
  <c r="H292" i="13" l="1"/>
  <c r="C294" i="13"/>
  <c r="F292" i="13"/>
  <c r="I291" i="13"/>
  <c r="O292" i="13"/>
  <c r="P292" i="13" s="1"/>
  <c r="N293" i="13"/>
  <c r="L293" i="13"/>
  <c r="M293" i="13"/>
  <c r="J293" i="13"/>
  <c r="K293" i="13"/>
  <c r="E293" i="13"/>
  <c r="G293" i="13" s="1"/>
  <c r="D293" i="13"/>
  <c r="T292" i="13"/>
  <c r="U290" i="13"/>
  <c r="C295" i="13" l="1"/>
  <c r="H293" i="13"/>
  <c r="F293" i="13"/>
  <c r="I292" i="13"/>
  <c r="O293" i="13"/>
  <c r="N294" i="13"/>
  <c r="L294" i="13"/>
  <c r="M294" i="13"/>
  <c r="K294" i="13"/>
  <c r="J294" i="13"/>
  <c r="E294" i="13"/>
  <c r="G294" i="13" s="1"/>
  <c r="D294" i="13"/>
  <c r="H294" i="13" s="1"/>
  <c r="T293" i="13"/>
  <c r="U291" i="13"/>
  <c r="C296" i="13" l="1"/>
  <c r="P293" i="13"/>
  <c r="O294" i="13"/>
  <c r="P294" i="13" s="1"/>
  <c r="F294" i="13"/>
  <c r="I293" i="13"/>
  <c r="M295" i="13"/>
  <c r="N295" i="13"/>
  <c r="K295" i="13"/>
  <c r="J295" i="13"/>
  <c r="L295" i="13"/>
  <c r="E295" i="13"/>
  <c r="G295" i="13" s="1"/>
  <c r="D295" i="13"/>
  <c r="H295" i="13" s="1"/>
  <c r="T294" i="13"/>
  <c r="U292" i="13"/>
  <c r="C297" i="13" l="1"/>
  <c r="F295" i="13"/>
  <c r="I294" i="13"/>
  <c r="O295" i="13"/>
  <c r="P295" i="13" s="1"/>
  <c r="M296" i="13"/>
  <c r="N296" i="13"/>
  <c r="K296" i="13"/>
  <c r="J296" i="13"/>
  <c r="L296" i="13"/>
  <c r="D296" i="13"/>
  <c r="E296" i="13"/>
  <c r="G296" i="13" s="1"/>
  <c r="T295" i="13"/>
  <c r="U293" i="13"/>
  <c r="C298" i="13" l="1"/>
  <c r="H296" i="13"/>
  <c r="F296" i="13"/>
  <c r="I295" i="13"/>
  <c r="O296" i="13"/>
  <c r="P296" i="13" s="1"/>
  <c r="M297" i="13"/>
  <c r="N297" i="13"/>
  <c r="K297" i="13"/>
  <c r="J297" i="13"/>
  <c r="L297" i="13"/>
  <c r="E297" i="13"/>
  <c r="G297" i="13" s="1"/>
  <c r="D297" i="13"/>
  <c r="T296" i="13"/>
  <c r="U294" i="13"/>
  <c r="H297" i="13" l="1"/>
  <c r="C299" i="13"/>
  <c r="F297" i="13"/>
  <c r="I296" i="13"/>
  <c r="O297" i="13"/>
  <c r="P297" i="13" s="1"/>
  <c r="M298" i="13"/>
  <c r="N298" i="13"/>
  <c r="K298" i="13"/>
  <c r="L298" i="13"/>
  <c r="J298" i="13"/>
  <c r="E298" i="13"/>
  <c r="G298" i="13" s="1"/>
  <c r="D298" i="13"/>
  <c r="T297" i="13"/>
  <c r="U295" i="13"/>
  <c r="H298" i="13" l="1"/>
  <c r="C300" i="13"/>
  <c r="F298" i="13"/>
  <c r="I297" i="13"/>
  <c r="O298" i="13"/>
  <c r="L299" i="13"/>
  <c r="M299" i="13"/>
  <c r="N299" i="13"/>
  <c r="J299" i="13"/>
  <c r="K299" i="13"/>
  <c r="E299" i="13"/>
  <c r="G299" i="13" s="1"/>
  <c r="D299" i="13"/>
  <c r="T298" i="13"/>
  <c r="U296" i="13"/>
  <c r="H299" i="13" l="1"/>
  <c r="C301" i="13"/>
  <c r="O299" i="13"/>
  <c r="F299" i="13"/>
  <c r="I298" i="13"/>
  <c r="P299" i="13"/>
  <c r="P298" i="13"/>
  <c r="M300" i="13"/>
  <c r="N300" i="13"/>
  <c r="J300" i="13"/>
  <c r="K300" i="13"/>
  <c r="L300" i="13"/>
  <c r="E300" i="13"/>
  <c r="G300" i="13" s="1"/>
  <c r="D300" i="13"/>
  <c r="T299" i="13"/>
  <c r="U297" i="13"/>
  <c r="C302" i="13" l="1"/>
  <c r="H300" i="13"/>
  <c r="F300" i="13"/>
  <c r="I299" i="13"/>
  <c r="O300" i="13"/>
  <c r="P300" i="13" s="1"/>
  <c r="M301" i="13"/>
  <c r="N301" i="13"/>
  <c r="J301" i="13"/>
  <c r="K301" i="13"/>
  <c r="L301" i="13"/>
  <c r="E301" i="13"/>
  <c r="G301" i="13" s="1"/>
  <c r="D301" i="13"/>
  <c r="T300" i="13"/>
  <c r="U298" i="13"/>
  <c r="H301" i="13" l="1"/>
  <c r="C303" i="13"/>
  <c r="F301" i="13"/>
  <c r="I300" i="13"/>
  <c r="O301" i="13"/>
  <c r="P301" i="13" s="1"/>
  <c r="N302" i="13"/>
  <c r="J302" i="13"/>
  <c r="M302" i="13"/>
  <c r="L302" i="13"/>
  <c r="K302" i="13"/>
  <c r="E302" i="13"/>
  <c r="G302" i="13" s="1"/>
  <c r="D302" i="13"/>
  <c r="T301" i="13"/>
  <c r="U299" i="13"/>
  <c r="C304" i="13" l="1"/>
  <c r="H302" i="13"/>
  <c r="I301" i="13"/>
  <c r="F302" i="13"/>
  <c r="O302" i="13"/>
  <c r="N303" i="13"/>
  <c r="L303" i="13"/>
  <c r="M303" i="13"/>
  <c r="K303" i="13"/>
  <c r="J303" i="13"/>
  <c r="E303" i="13"/>
  <c r="G303" i="13" s="1"/>
  <c r="D303" i="13"/>
  <c r="T302" i="13"/>
  <c r="U300" i="13"/>
  <c r="H303" i="13" l="1"/>
  <c r="C305" i="13"/>
  <c r="O303" i="13"/>
  <c r="F303" i="13"/>
  <c r="I302" i="13"/>
  <c r="P303" i="13"/>
  <c r="P302" i="13"/>
  <c r="N304" i="13"/>
  <c r="K304" i="13"/>
  <c r="L304" i="13"/>
  <c r="M304" i="13"/>
  <c r="J304" i="13"/>
  <c r="D304" i="13"/>
  <c r="E304" i="13"/>
  <c r="G304" i="13" s="1"/>
  <c r="T303" i="13"/>
  <c r="U301" i="13"/>
  <c r="C306" i="13" l="1"/>
  <c r="O304" i="13"/>
  <c r="H304" i="13"/>
  <c r="P304" i="13" s="1"/>
  <c r="F304" i="13"/>
  <c r="I303" i="13"/>
  <c r="N305" i="13"/>
  <c r="L305" i="13"/>
  <c r="J305" i="13"/>
  <c r="K305" i="13"/>
  <c r="M305" i="13"/>
  <c r="E305" i="13"/>
  <c r="G305" i="13" s="1"/>
  <c r="D305" i="13"/>
  <c r="T304" i="13"/>
  <c r="U302" i="13"/>
  <c r="C307" i="13" l="1"/>
  <c r="H305" i="13"/>
  <c r="I304" i="13"/>
  <c r="F305" i="13"/>
  <c r="O305" i="13"/>
  <c r="P305" i="13" s="1"/>
  <c r="N306" i="13"/>
  <c r="L306" i="13"/>
  <c r="M306" i="13"/>
  <c r="J306" i="13"/>
  <c r="K306" i="13"/>
  <c r="E306" i="13"/>
  <c r="G306" i="13" s="1"/>
  <c r="D306" i="13"/>
  <c r="T305" i="13"/>
  <c r="U303" i="13"/>
  <c r="H306" i="13" l="1"/>
  <c r="C308" i="13"/>
  <c r="O306" i="13"/>
  <c r="P306" i="13" s="1"/>
  <c r="F306" i="13"/>
  <c r="I305" i="13"/>
  <c r="M307" i="13"/>
  <c r="N307" i="13"/>
  <c r="L307" i="13"/>
  <c r="K307" i="13"/>
  <c r="J307" i="13"/>
  <c r="E307" i="13"/>
  <c r="G307" i="13" s="1"/>
  <c r="D307" i="13"/>
  <c r="T306" i="13"/>
  <c r="U304" i="13"/>
  <c r="H307" i="13" l="1"/>
  <c r="C309" i="13"/>
  <c r="O307" i="13"/>
  <c r="F307" i="13"/>
  <c r="I306" i="13"/>
  <c r="P307" i="13"/>
  <c r="M308" i="13"/>
  <c r="N308" i="13"/>
  <c r="L308" i="13"/>
  <c r="K308" i="13"/>
  <c r="J308" i="13"/>
  <c r="E308" i="13"/>
  <c r="G308" i="13" s="1"/>
  <c r="D308" i="13"/>
  <c r="T307" i="13"/>
  <c r="U305" i="13"/>
  <c r="C310" i="13" l="1"/>
  <c r="O308" i="13"/>
  <c r="H308" i="13"/>
  <c r="I307" i="13"/>
  <c r="F308" i="13"/>
  <c r="M309" i="13"/>
  <c r="N309" i="13"/>
  <c r="L309" i="13"/>
  <c r="K309" i="13"/>
  <c r="J309" i="13"/>
  <c r="E309" i="13"/>
  <c r="G309" i="13" s="1"/>
  <c r="D309" i="13"/>
  <c r="T308" i="13"/>
  <c r="U306" i="13"/>
  <c r="H309" i="13" l="1"/>
  <c r="C311" i="13"/>
  <c r="P308" i="13"/>
  <c r="O309" i="13"/>
  <c r="P309" i="13" s="1"/>
  <c r="F309" i="13"/>
  <c r="I308" i="13"/>
  <c r="M310" i="13"/>
  <c r="N310" i="13"/>
  <c r="L310" i="13"/>
  <c r="K310" i="13"/>
  <c r="J310" i="13"/>
  <c r="E310" i="13"/>
  <c r="G310" i="13" s="1"/>
  <c r="D310" i="13"/>
  <c r="T309" i="13"/>
  <c r="U307" i="13"/>
  <c r="C312" i="13" l="1"/>
  <c r="H310" i="13"/>
  <c r="F310" i="13"/>
  <c r="I309" i="13"/>
  <c r="O310" i="13"/>
  <c r="M311" i="13"/>
  <c r="N311" i="13"/>
  <c r="J311" i="13"/>
  <c r="K311" i="13"/>
  <c r="L311" i="13"/>
  <c r="E311" i="13"/>
  <c r="G311" i="13" s="1"/>
  <c r="D311" i="13"/>
  <c r="T310" i="13"/>
  <c r="U308" i="13"/>
  <c r="C313" i="13" l="1"/>
  <c r="H311" i="13"/>
  <c r="I310" i="13"/>
  <c r="F311" i="13"/>
  <c r="O311" i="13"/>
  <c r="P311" i="13" s="1"/>
  <c r="P310" i="13"/>
  <c r="M312" i="13"/>
  <c r="N312" i="13"/>
  <c r="J312" i="13"/>
  <c r="L312" i="13"/>
  <c r="K312" i="13"/>
  <c r="E312" i="13"/>
  <c r="G312" i="13" s="1"/>
  <c r="D312" i="13"/>
  <c r="T311" i="13"/>
  <c r="U309" i="13"/>
  <c r="H312" i="13" l="1"/>
  <c r="C314" i="13"/>
  <c r="F312" i="13"/>
  <c r="I311" i="13"/>
  <c r="O312" i="13"/>
  <c r="P312" i="13" s="1"/>
  <c r="M313" i="13"/>
  <c r="N313" i="13"/>
  <c r="J313" i="13"/>
  <c r="L313" i="13"/>
  <c r="K313" i="13"/>
  <c r="E313" i="13"/>
  <c r="G313" i="13" s="1"/>
  <c r="D313" i="13"/>
  <c r="T312" i="13"/>
  <c r="U310" i="13"/>
  <c r="H313" i="13" l="1"/>
  <c r="C315" i="13"/>
  <c r="F313" i="13"/>
  <c r="I312" i="13"/>
  <c r="O313" i="13"/>
  <c r="P313" i="13" s="1"/>
  <c r="M314" i="13"/>
  <c r="J314" i="13"/>
  <c r="L314" i="13"/>
  <c r="K314" i="13"/>
  <c r="N314" i="13"/>
  <c r="E314" i="13"/>
  <c r="G314" i="13" s="1"/>
  <c r="D314" i="13"/>
  <c r="H314" i="13" s="1"/>
  <c r="T313" i="13"/>
  <c r="U311" i="13"/>
  <c r="C316" i="13" l="1"/>
  <c r="C317" i="13"/>
  <c r="F314" i="13"/>
  <c r="I313" i="13"/>
  <c r="O314" i="13"/>
  <c r="N315" i="13"/>
  <c r="L315" i="13"/>
  <c r="M315" i="13"/>
  <c r="K315" i="13"/>
  <c r="J315" i="13"/>
  <c r="E315" i="13"/>
  <c r="G315" i="13" s="1"/>
  <c r="D315" i="13"/>
  <c r="H315" i="13" s="1"/>
  <c r="T314" i="13"/>
  <c r="U312" i="13"/>
  <c r="I314" i="13" l="1"/>
  <c r="F315" i="13"/>
  <c r="O315" i="13"/>
  <c r="P315" i="13" s="1"/>
  <c r="P314" i="13"/>
  <c r="N316" i="13"/>
  <c r="M316" i="13"/>
  <c r="K316" i="13"/>
  <c r="J316" i="13"/>
  <c r="L316" i="13"/>
  <c r="E316" i="13"/>
  <c r="G316" i="13" s="1"/>
  <c r="D316" i="13"/>
  <c r="H316" i="13" s="1"/>
  <c r="T315" i="13"/>
  <c r="U313" i="13"/>
  <c r="I315" i="13" l="1"/>
  <c r="F316" i="13"/>
  <c r="O316" i="13"/>
  <c r="P316" i="13" s="1"/>
  <c r="N317" i="13"/>
  <c r="L317" i="13"/>
  <c r="M317" i="13"/>
  <c r="K317" i="13"/>
  <c r="J317" i="13"/>
  <c r="E317" i="13"/>
  <c r="G317" i="13" s="1"/>
  <c r="D317" i="13"/>
  <c r="T316" i="13"/>
  <c r="U314" i="13"/>
  <c r="H317" i="13" l="1"/>
  <c r="O317" i="13"/>
  <c r="C10" i="13" s="1"/>
  <c r="F317" i="13"/>
  <c r="I317" i="13" s="1"/>
  <c r="I316" i="13"/>
  <c r="P317" i="13"/>
  <c r="T317" i="13"/>
  <c r="U315" i="13"/>
  <c r="U316" i="13" l="1"/>
  <c r="U317" i="13" l="1"/>
  <c r="C9" i="13" l="1"/>
  <c r="X3" i="13" l="1"/>
  <c r="T22" i="28"/>
  <c r="F6" i="28"/>
  <c r="F6" i="13"/>
  <c r="M17" i="27" l="1"/>
  <c r="L54" i="9"/>
  <c r="C10" i="28"/>
  <c r="L17" i="27"/>
</calcChain>
</file>

<file path=xl/sharedStrings.xml><?xml version="1.0" encoding="utf-8"?>
<sst xmlns="http://schemas.openxmlformats.org/spreadsheetml/2006/main" count="491" uniqueCount="149">
  <si>
    <t>APR</t>
  </si>
  <si>
    <t>حساب معدل النسبة السنوي</t>
  </si>
  <si>
    <t>المصطلحات والتعريفات الأساسية</t>
  </si>
  <si>
    <t>المصطلح</t>
  </si>
  <si>
    <t>التعريف</t>
  </si>
  <si>
    <t>رسوم التقييم</t>
  </si>
  <si>
    <t>رسوم ضريبة القيمة المضافة</t>
  </si>
  <si>
    <t>رسوم التأمين</t>
  </si>
  <si>
    <t>أي رسوم أخرى</t>
  </si>
  <si>
    <t>الرسوم الإدارية + ضريبة القيمة المضافة الخاصة بها</t>
  </si>
  <si>
    <t>الرسوم السنوية + ضريبة القيمة المضافة الخاصة بها</t>
  </si>
  <si>
    <t>قيمة التمويل</t>
  </si>
  <si>
    <t>مدة التمويل</t>
  </si>
  <si>
    <t>مدة التمويل (بالشهور)</t>
  </si>
  <si>
    <t>الرسوم / المصاريف</t>
  </si>
  <si>
    <t>فترة السماح (بالشهور)</t>
  </si>
  <si>
    <t>التكرار</t>
  </si>
  <si>
    <t>متوسط الرسوم حسب تكرارها</t>
  </si>
  <si>
    <t>معدل النسبة السنوي</t>
  </si>
  <si>
    <t>أداة احتساب معدل النسبة السنوي</t>
  </si>
  <si>
    <t>تفاصيل التمويل</t>
  </si>
  <si>
    <t>الرقم التسلسلي</t>
  </si>
  <si>
    <t>تاريخ استحقاق القسط (شهري)</t>
  </si>
  <si>
    <t>أصل المبلغ</t>
  </si>
  <si>
    <t>رسوم الخدمة</t>
  </si>
  <si>
    <t>تاريخ اخر دفعة</t>
  </si>
  <si>
    <t>التاريخ</t>
  </si>
  <si>
    <t>القيمة</t>
  </si>
  <si>
    <t>جدول السداد</t>
  </si>
  <si>
    <t>رسوم التأمين + ضريبة القيمة المضافة الخاصة بها</t>
  </si>
  <si>
    <t>رسوم التقييم + ضريبة القيمة المضافة الخاصة بها</t>
  </si>
  <si>
    <t>العناوين الرئيسية</t>
  </si>
  <si>
    <t>أي رسوم تدفع مقدما (تتضمن ضريبة القيمة المضافة)</t>
  </si>
  <si>
    <t>تاريخ الدفعة</t>
  </si>
  <si>
    <t>حقول تحسب بشكل تلقائي</t>
  </si>
  <si>
    <t>تاريخ الدفعة (القسط) الشهري</t>
  </si>
  <si>
    <t>إجمالي الدفعة (القسط)</t>
  </si>
  <si>
    <t>أصل مبلغ التمويل التراكمي</t>
  </si>
  <si>
    <t>عناوين رئيسية</t>
  </si>
  <si>
    <t>عناوين فرعية</t>
  </si>
  <si>
    <t>حقول تحسب بشكل تلقائي / مدخلات ثابتة</t>
  </si>
  <si>
    <t>تفاصيل التمويل الشخصي</t>
  </si>
  <si>
    <t>تفاصيل التمويل العقاري</t>
  </si>
  <si>
    <t>تفاصيل التمويل من خلال بطاقات الائتمان</t>
  </si>
  <si>
    <t xml:space="preserve">مدة التمويل </t>
  </si>
  <si>
    <t>تاريخ تخصيص البطاقة / تاريخ الموافقة</t>
  </si>
  <si>
    <t>الرسوم حسب تكرارها</t>
  </si>
  <si>
    <t>تعليمات النموذج</t>
  </si>
  <si>
    <t>رسوم التأمين + ضريبة القيمة المضافة الخاصة بها *</t>
  </si>
  <si>
    <t>مخطط الألوان المستخدم في النموذج</t>
  </si>
  <si>
    <t>مخطط الألوان المستخدمة في النموذج</t>
  </si>
  <si>
    <t>رقم القسط (الدفعة)</t>
  </si>
  <si>
    <t>الرسوم السنوية</t>
  </si>
  <si>
    <t>تفاصيل التمويل التأجيري</t>
  </si>
  <si>
    <t>متوسط الرسوم (متضمنة ضريبة القيمة المضافة)</t>
  </si>
  <si>
    <t>تاريخ استحقاق القسط / الدفعة (شهري)</t>
  </si>
  <si>
    <t>مثال (1) حساب نسبة المعدل السنوي للتمويل الشخصي</t>
  </si>
  <si>
    <t>معلومات التمويل</t>
  </si>
  <si>
    <t>مثال (2) حساب نسبة المعدل السنوي للتأجير التمويلي</t>
  </si>
  <si>
    <t>مثال (3) حساب معدل النسبة السنوي للتمويل العقاري</t>
  </si>
  <si>
    <t xml:space="preserve">رسوم التقييم التي تفرض على العميل والتي تتعلق بتقييم عقاراته في حالة التمويل العقاري </t>
  </si>
  <si>
    <t>أي رسوم أخرى تفرض على المقترض تتعلق بالتسهيلات الممنوحة مثل رسوم الوساطة في حال التمويل عن طريق منتج المرابحة</t>
  </si>
  <si>
    <t>الدفعة الأخيرة</t>
  </si>
  <si>
    <t>قيمة الدفعة الأخيرة</t>
  </si>
  <si>
    <t>تمويل شخصي بقيمة 20،000 ريال سعودي، ومعدل فائدة 3.2% لمدة 24 شهر. تبلغ قيمة رسوم تقديم الطلب (متضمنة ضريبة القيمة المضافة) التي تم تحميلها بشكل مقدم  200 ريال سعودي.</t>
  </si>
  <si>
    <t>مبلغ الدفعة لأصل مبلغ التمويل</t>
  </si>
  <si>
    <t>شهري</t>
  </si>
  <si>
    <t>دفعة مقدمة</t>
  </si>
  <si>
    <t>القسط (الدفعة) الاول</t>
  </si>
  <si>
    <t>قيمة المركبة</t>
  </si>
  <si>
    <t>الرسوم حسب التكرار</t>
  </si>
  <si>
    <t>سنوي</t>
  </si>
  <si>
    <t>مبلغ الدفعة الأخيرة</t>
  </si>
  <si>
    <r>
      <t>6.</t>
    </r>
    <r>
      <rPr>
        <b/>
        <sz val="7"/>
        <color theme="0"/>
        <rFont val="Times New Roman"/>
        <family val="1"/>
      </rPr>
      <t>          </t>
    </r>
    <r>
      <rPr>
        <b/>
        <sz val="14"/>
        <color theme="0"/>
        <rFont val="Sakkal Majalla"/>
      </rPr>
      <t>  كيفية حساب معدل النسبة السنوي لمنتج (2 في 1)؟</t>
    </r>
  </si>
  <si>
    <t xml:space="preserve">الرسوم التي يتم تحميلها على المقترض عند الحصول على قرض متضمنةً الرسوم التي تم تحميلها على المقترض عند تقديم طلب التمويل، وأي رسوم يتم تحميلها بعد الموافقة على التمويل، على سبيل المثال: عند دراسة طلب التمويل والموافقة عليه (متضمنة أي رسوم تتعلق بمراجعة المستندات وحفظها). حيث يتم تحميل هذه الرسوم على العميل دفعةً واحدة. </t>
  </si>
  <si>
    <t>دفعة أصل مبلغ التمويل التي يدفعها المقترض كجزء من جدول السداد</t>
  </si>
  <si>
    <t xml:space="preserve">هو مبلغ التمويل / أصل القرض المقدم للمقترض في تاريخ بدء القرض. (في حاسبة معدل النسبة السنوي، يكون أصل مبلغ التمويل صافيًا (لايتضمن الدفعة الأولية - أينما ينطبق) </t>
  </si>
  <si>
    <t>هي الدفعات التراكمية لأصل مبلغ التمويل والتي تمثل إجمالي دفعات أصل التمويل المستلمة لحين دفعة محددة أو تاريخ محدد</t>
  </si>
  <si>
    <t>أصل مبلغ التمويل</t>
  </si>
  <si>
    <t>المتبقي من أصل مبلغ التمويل</t>
  </si>
  <si>
    <t xml:space="preserve">المتبقي من أصل مبلغ التمويل بعد دفع دفعة أصل مبلغ التمويل الشهرية </t>
  </si>
  <si>
    <t>إجمالي الرسوم</t>
  </si>
  <si>
    <t>إجمالي المبلغ المدفوع</t>
  </si>
  <si>
    <t>يجب تعبئة المعلومات في صيغة نسبة مئوية</t>
  </si>
  <si>
    <t>يجب تعبئة المعلومات في صيغة أرقام</t>
  </si>
  <si>
    <t>يجب تعبئة المعلومات في صيغة تواريخ</t>
  </si>
  <si>
    <t>يجب اختيار المعلومات من القائمة المنسدلة</t>
  </si>
  <si>
    <t>إجمالي الرسوم المطبقة على كامل فترة التمويل</t>
  </si>
  <si>
    <t>إجمالي الرسوم الإدارية</t>
  </si>
  <si>
    <r>
      <t>حساب معدل النسبة السنوي للاقساط</t>
    </r>
    <r>
      <rPr>
        <b/>
        <sz val="11"/>
        <color rgb="FFFF0000"/>
        <rFont val="Calibri"/>
        <family val="2"/>
        <scheme val="minor"/>
      </rPr>
      <t xml:space="preserve"> غير المنتظمة</t>
    </r>
  </si>
  <si>
    <t>حدّث جدول الأقساط أي تاريخ القسط(الدفعة) ومبلغ القسط المُستلم</t>
  </si>
  <si>
    <t>رسوم التأمين التي يتم خصمها على شكل أقساط للتمويل المؤمن، على سبيل المثال: رسوم التأمين التي يتحملها للمركبة أو العقار (أينما تنطبق) أو للبطاقات الائتمانية.</t>
  </si>
  <si>
    <t xml:space="preserve">رسوم ضريبة القيمة المضافة التي تفرض على الرسوم الإدارية، والرسوم السنوية و رسوم التأمين </t>
  </si>
  <si>
    <t xml:space="preserve"> *متضمنه رسوم التأمين على العقار و/أو التأمين على الحياة في حال تم تحميلها على العميل بشكل منفصل</t>
  </si>
  <si>
    <t>دفعة أصل مبلغ التمويل</t>
  </si>
  <si>
    <t>إجمالي مبلغ القسط (الدفعة)</t>
  </si>
  <si>
    <t>تأجير تمويلي بقيمة 300,000 ريال سعودي, ومعدل فائدة 5.2% ولمدة 60 شهر. ورسوم تقديم الطلب (متضمنة ضريبة القيمة المضافة) التي تم تحميلها بشكل مقدم تساوي 3000 ريال سعودي. قيمة المركبة تساوي 320,000 ريال سعودي ومعدل التأمين كأن 3% يدفع بشكل شهري ومتساوي.</t>
  </si>
  <si>
    <t>مثال (4) حساب معدل النسبة السنوي لبطاقات الائتمأن</t>
  </si>
  <si>
    <t>4.             كيف يتم حساب معدل النسبة السنوي للدفعات غير المتسأوية (على سبيل المثال: القرض المرن)؟</t>
  </si>
  <si>
    <t>3.             ماهو نوع التأمين الذي يجب أن يعتبر عند حساب معدل النسبة السنوي؟</t>
  </si>
  <si>
    <t xml:space="preserve"> يجب أن يتم اعتبار مبلغ 10,000 ريال سعودي كمبلغ معاد دفعه خلال فترة سنة لاحتساب معدل النسبة النسوي</t>
  </si>
  <si>
    <t>1.             ماهو إلاختلاف الجوهري بين معادلة (IRR) الحالية، ومعادلة (XIRR) المستخدمة في حساب معدل النسبة السنوي؟</t>
  </si>
  <si>
    <t>معدل العائد الداخلي (IRR) هو المعدل الذي يكون فيه صافي القيمة الحالية (NPV) لجميع التدفقات النقدية -الخارجة والداخلة- مسأويًا لصفر. في حين أن معدل الفائدة المطابق (XIRR) هي معادلة تستخدم لحساب معدل الفائدة السنوي والتي تأخذ بعين إلاعتبار تواريخ استحقاق التدفقات النقدية. إضافة إلى ذلك يقدم معدل الفائدة المطابق مرونة أكبر لحساب معدل العائد الداخلي للتدفقات في حال عدم تطابق التواريخ والسيناريوهات (مثل حإلات فترة السماح، عندما يتم افتراض أن الدفعات تسأوي صفر لمدة معينة)</t>
  </si>
  <si>
    <t>2.            هل يجب تضمين ضريبة القيمة المضافة كجزء من الرسوم إلادارية، ورسوم التأمين، ورسوم التقييم، وأي رسوم أخرى للحصول على التمويل، في حساب معدل النسبة السنوي؟</t>
  </si>
  <si>
    <t>نعم, طالما كأنت ضريبة القيمة المضافة مرتبطة بالرسوم أو المصاريف المفروضة على المقترض مرتبطة بالتمويل المطلوب. نحن نتفهم أن شركات التمويل تقوم بتحصيل الضريبة نيابة عن هيئة الزكاة والدخل في المملكة العربية السعودية إلا أن المقترض يقوم بدفع تلك الضريبة كجزء من حصوله على مبلغ التمويل المطلوب وبالتالي يجب أن تكون تلك الرسوم المتعلقة بالضريبة جزء لا يتجزء من معادلة احتساب معدل النسبة السنوي</t>
  </si>
  <si>
    <t>5.            في منتج البطاقات إلائتمأنية، ماهو مبلغ التمويل الذي يجب اعتباره عند حساب معدل السنوي الذي يتم إفصاحه للمقترضين؟</t>
  </si>
  <si>
    <t>للتمويل العقاري: إذا قامت شركة التمويل بفرض رسوم تأمين على المقترض تتعلق على سبيل المثال بتأمين ممتلكات أو عقارات العميل أو تأمين على الحياة أو كلامها, فإنه يجب احتساب تلك الرسوم كجزء من احتساب معدل النسبة السنوي.</t>
  </si>
  <si>
    <t>أ) مبلغ أصل القرض</t>
  </si>
  <si>
    <t>ب) أي رسوم مدفوعة مسبقًا من قبل المقترض (عند فترة توقيع العقد) - عادة ماتكون الرسوم إلادارية</t>
  </si>
  <si>
    <t>يتم استخدام حاسبة معدل النسبة السنوي لاحتساب منتج واحد فقط, في حال وجود منتج 2 في 1 فإنه يجب إلافصاح بمعدل النسبة السنوي وطريقة احتسابه لكل منتج على حده</t>
  </si>
  <si>
    <t>مخطط الألوأن المستخدم في النموذج</t>
  </si>
  <si>
    <t>السنة التأمينية</t>
  </si>
  <si>
    <t>معدل التأمين</t>
  </si>
  <si>
    <t>عنأوين رئيسية</t>
  </si>
  <si>
    <t>عنأوين فرعية</t>
  </si>
  <si>
    <t>تاريخ أول قسط</t>
  </si>
  <si>
    <t>معدل الإهلاك</t>
  </si>
  <si>
    <r>
      <t xml:space="preserve">تاريخ </t>
    </r>
    <r>
      <rPr>
        <sz val="9"/>
        <color rgb="FFFF0000"/>
        <rFont val="Cambria"/>
        <family val="1"/>
      </rPr>
      <t>أ</t>
    </r>
    <r>
      <rPr>
        <sz val="9"/>
        <rFont val="Cambria"/>
        <family val="1"/>
      </rPr>
      <t>ول قسط</t>
    </r>
  </si>
  <si>
    <t>مبلغ الدفعة لكلفة الأجل</t>
  </si>
  <si>
    <t>دفعة كلفة الأجل التي تدفع من قبل المقترض كجزء من جدول السداد</t>
  </si>
  <si>
    <t>مبلغ كلفة الأجل التراكمي</t>
  </si>
  <si>
    <t>هي الدفعات التراكمية لكلفة الأجل والتي تمثل إجمالي دفعات كلفة الأجل المستلمة لحين دفعة محددة أو تاريخ محدد</t>
  </si>
  <si>
    <t>هي إجمالي الدفعات (الأقساط) التي تحتوي على أصل مبلغ التمويل بالإضافة إلى كلفة الأجل لكل دفعة شهرية أو تاريخ محدد</t>
  </si>
  <si>
    <t>الرسوم التي يتم استقطاعها من قبل شركات التمويل علاوة على أصل مبلغ التمويل وكلفة الأجل</t>
  </si>
  <si>
    <t xml:space="preserve">إجمالي الدفعات التي يتم دفعها من قبل المقترض لكل دفعة شهرية والتي تحتوي على أصل مبلغ التمويل، كلفة الأجل، وجميع الرسوم والمصاريف </t>
  </si>
  <si>
    <t>كلفة الأجل السنوية</t>
  </si>
  <si>
    <t>كلفة الأجل</t>
  </si>
  <si>
    <t>دفعة كلفة الأجل</t>
  </si>
  <si>
    <t>مبلغ كلفة الأجل</t>
  </si>
  <si>
    <t xml:space="preserve">عقار سكني ممول بقيمة 1,500,000 ريال سعودي وبكلفة أجل تساوي 2.35% ولمدة 360 شهر. رسوم تقديم الطلب (متضمنة ضريبة القيمة المضافة) التي تم تحميلها بشكل مقدم تساوي 2000 ريال سعودي. رسوم التقييم العقاري ( متضمنة ضريبة القيمة المضافة) تساوي 3000 ريال وتفرض على العميل بشكل سنوي </t>
  </si>
  <si>
    <t>بطاقة ائتمأن حدها الائتمأني 50,000 ريال سعودي وبكلفة أجل 10%. رسوم تقديم الطلب التي يتم تحميلها بشكل مقدم تساوي 115 ريال. رسوم التأمين السنوي (متضمنة ضريبة القيمة المضافة) تساوي 25 ريال والتي تدفع من قبل العميل نهاية كل سنة</t>
  </si>
  <si>
    <t xml:space="preserve">د) التدفقات النقدية, ويجب التأكد من أنها تتضمن أصل مبلغ التمويل, كلفة الأجل وأي رسوم أخرى تتعلق بالتمويل المذكور في نفس ورقة العمل </t>
  </si>
  <si>
    <t>تاريخ أول دفعة</t>
  </si>
  <si>
    <t>الرسوم التي يتحتم تحميلها على المقترض سنويًا كرسوم تجديد / أو رسوم صيانة، وتنطبق هذه الرسوم على أي نوع من أنواع الائتمان وبشكل خاص على البطاقات الائتمانية متضمنةً أي رسوم حماية (أينما تنطبق).</t>
  </si>
  <si>
    <t>حقول المدخلات</t>
  </si>
  <si>
    <t>تفاصيل التأجير التمويلي</t>
  </si>
  <si>
    <t>للإيجار التمويلي: تأمين المركبة يكون متضمن في احتساب النسبة السنوي ويتم احتساب رسوم التأمين بناء على قيمة المركبة بعد إلاهلاك. وينتج عن ذلك أحد السناريوهات التالية:
سيناريو 1: يُدفع فسط التأمين على دفعات شهرية متساوية تغطي كامل فترة التمويل.
سيناريو 2:  يُدفع فسط التأمين  على  دفعات شهرية متساوية خلال أحد السنوات في فترة التمويل.</t>
  </si>
  <si>
    <t>لبطاقات الائتمان فقط في حال كان رسوم التأمين المفروضةعلى العميل تتعلق باتفاقية سابقة, فإنه يجب احتساب تلك الرسوم كجزء من احتساب معدل النسبة السنوي</t>
  </si>
  <si>
    <t>في الحالات التي تكون  فيها قيمة القسط (الدفعات) مختلفة خلال فترة التمويل (مثل القرض المرن) فإنه يحتسب معدل النسبة السنوي بناءً على ورقة العمل الخاصة (بالدفعات غير المتساوية) ويجب أن يتم تعبئة الفقرات التالية ويتم تحديثها من قبل جهة التمويل:</t>
  </si>
  <si>
    <t xml:space="preserve">أصل مبلغ التمويل </t>
  </si>
  <si>
    <r>
      <t>جدول بالتواريخ الشهرية يوضح موعد استحقاق الدفعات (بافتراض</t>
    </r>
    <r>
      <rPr>
        <sz val="10"/>
        <rFont val="Cambria"/>
        <family val="1"/>
      </rPr>
      <t xml:space="preserve"> أ</t>
    </r>
    <r>
      <rPr>
        <sz val="10"/>
        <color rgb="FF000000"/>
        <rFont val="Cambria"/>
        <family val="1"/>
      </rPr>
      <t>نها دفعات شهرية) بناء على موعد البدء بسداد الدفعة ومدة عقد التمويل.</t>
    </r>
  </si>
  <si>
    <t/>
  </si>
  <si>
    <t>حقول للإدخال (قيمه مطلقه)</t>
  </si>
  <si>
    <t>تاريخ توفر التمويل</t>
  </si>
  <si>
    <r>
      <t>في حين أن:
1. t:  تشير إلى عدد الأيام بين تاريخ توفر التمويل</t>
    </r>
    <r>
      <rPr>
        <b/>
        <sz val="9"/>
        <color rgb="FFFF0000"/>
        <rFont val="Cambria"/>
        <family val="1"/>
      </rPr>
      <t xml:space="preserve"> وتاريخ استحقاق الدفعة</t>
    </r>
    <r>
      <rPr>
        <b/>
        <sz val="9"/>
        <color theme="1"/>
        <rFont val="Cambria"/>
        <family val="1"/>
      </rPr>
      <t xml:space="preserve">
2. n: تشير إلى اخر دفعة
3. لغرض توضيح الأمثلة, فإنه يتم احتساب إجمالي عدد الأيام بالسنة بافتراض أن السنة 365 يوم
</t>
    </r>
  </si>
  <si>
    <t>ج) تاريخ توفر التمويل- تاريخ توقيع العقد</t>
  </si>
  <si>
    <t>يجب تعبئة المعلومات في هذا النموذج حسب نظام الألوان المحدد على يمين الصفحة، ولا تتطلب أوراق العمل الأخرى أي مدخلات.
1. أصل مبلغ التمويل هو المبلغ المقدم للعميل بعد الدفعة المقدمة  (إن وجدت).
2. تاريخ توفر التمويل هو التاريخ الذي يكون فيه مبلغ التمويل متاحاً للعميل من قبل المؤسسة المالية.
3. فترة السماح هي عدد الأشهر المتنازل عنها قبل بدء تاريخ استحقاق الدفعات التعاقدية، في حال عدم وجود فترة سماح للعميل فتكون القيمة 0.
4. تاريخ بداية الدفعة هو التاريخ الذي سيبدأ منه استحقاق الدفعات الشهرية التعاقدية. 
5. يجب أن يتم تعبئة الرسوم / المصاريف بمبالغها الإجمالية متضمنة رسوم ضريبة القيمة المضافة (مثال: اذا كانت رسوم التأمين السنوية تساوي 200 ريال سعودي وكانت مدة العقد 60 شهر (5 سنوات) بالتالي فإن المعلومات التي يجب تعبئتها في النموذج (عمود I) هي كالتالي: 200 ريال سعودي * 5 سنوات = 1000 ريال سعودي + 15% رسوم ضريبة القيمة المضافة. أخذًا بالاعتبار أنه لا يجب أن تزيد جميع الرسوم، بما فيها الرسوم الإدارية، التي يتم تحصيلها من المقترض ما يعادل 1% من مبلغ التمويل او 5000 ريال سعودي أيهما أقل. 
6. يجب اختيار تكرار الرسوم / المصاريف من القائمة المنسدلة; سيتم حساب الرسوم تبعًا للخيار الذي تم اختياره من القائمة المنسدلة. 
7. في حال كانت الدفعة النهائية اختيارية، فيمكن وضع القيمة 0 أو تركها فارغة.</t>
  </si>
  <si>
    <r>
      <t xml:space="preserve">يجب تعبئة المعلومات في هذا النموذج حسب نظام الألوأن المحدد على يمين الصفحة، أوراق العمل الأخرى لاتتطلب أي مدخلات.
1. أصل مبلغ التمويل هو المبلغ المقدم للعميل بعد الدفعة المقدمة (أن وجدت).
</t>
    </r>
    <r>
      <rPr>
        <sz val="9"/>
        <rFont val="Cambria"/>
        <family val="1"/>
      </rPr>
      <t>2. تاريخ توفر التمويل هو التاريخ الذي يكون فيه مبلغ التمويل متاحاً للعميل من قبل المؤسسة المالية.</t>
    </r>
    <r>
      <rPr>
        <sz val="9"/>
        <color theme="1"/>
        <rFont val="Cambria"/>
        <family val="1"/>
      </rPr>
      <t xml:space="preserve">
3. فترة السماح هي عدد الأشهر المتنازل عنها قبل بدء تاريخ استحقاق الدفعات التعاقدية، في حال عدم وجود فترة سماح للعميل فتكون القيمة 0.
4. تاريخ أول قسط هو التاريخ الذي سيبدأ منه استحقاق الدفعات الشهرية، على سبيل المثال، نهأية الشهر من تاريخ العقد في حال عدم وجود فترة سماح.
5. يجب أن يتم تعبئة الرسوم / المصاريف بمبالغها الإجمالية متضمنة رسوم ضريبة القيمة المضافة (مثال: اذا كانت رسوم التأمين السنوية تساوي 200 ريال سعودي وكانت مدة العقد 60 شهر (5 سنوات) بالتالي فإن المعلومات التي يجب تعبئتها في النموذج (عمود I) هي كالتالي: 200 ريال سعودي * 5 سنوات = 1000 ريال سعودي + 15% رسوم ضريبة القيمة المضافة. أخذًا بالاعتبار أنه يجب ألا تزيد جميع الرسوم، بما فيها الرسوم الإدارية، التي يتم تحصيلها من المقترض ما يعادل 1% من مبلغ التمويل أو 5000 ريال سعودي أيهما أقل. 
6. يجب اختيار تكرار الرسوم / المصاريف من القائمة المنسدلة; سيتم حساب الرسوم تبعًا للخيار الذي تم اختياره من القائمة المنسدلة. 
7. في حال كانت الدفعة النهائية اختيارية، فيمكن إدخال قيمة (0) أو تركها فارغة.</t>
    </r>
  </si>
  <si>
    <t xml:space="preserve">تفاصيل التمويل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</si>
</sst>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1" formatCode="_(* #,##0_);_(* \(#,##0\);_(* &quot;-&quot;_);_(@_)"/>
    <numFmt numFmtId="43" formatCode="_(* #,##0.00_);_(* \(#,##0.00\);_(* &quot;-&quot;??_);_(@_)"/>
    <numFmt numFmtId="164" formatCode="_(* #,##0_);_(* \(#,##0\);_(* &quot;-&quot;??_);_(@_)"/>
    <numFmt numFmtId="165" formatCode="0.0%"/>
    <numFmt numFmtId="166" formatCode="_(* #,##0.0_);_(* \(#,##0.0\);_(* &quot;-&quot;??_);_(@_)"/>
    <numFmt numFmtId="167" formatCode="_(* #,##0.00000000_);_(* \(#,##0.00000000\);_(* &quot;-&quot;??_);_(@_)"/>
    <numFmt numFmtId="168" formatCode="0.0000000%"/>
    <numFmt numFmtId="169" formatCode="_(* #,##0.0_);_(* \(#,##0.0\);_(* &quot;-&quot;?_);_(@_)"/>
    <numFmt numFmtId="170" formatCode="0.0000000000%"/>
    <numFmt numFmtId="171" formatCode="0.0000%"/>
    <numFmt numFmtId="172" formatCode="0.000"/>
    <numFmt numFmtId="173" formatCode="0.0"/>
    <numFmt numFmtId="174" formatCode="_(* #,##0.0000_);_(* \(#,##0.0000\);_(* &quot;-&quot;??_);_(@_)"/>
  </numFmts>
  <fonts count="28" x14ac:knownFonts="1">
    <font>
      <sz val="11"/>
      <color theme="1"/>
      <name val="Calibri"/>
      <family val="2"/>
      <scheme val="minor"/>
    </font>
    <font>
      <sz val="11"/>
      <color theme="1"/>
      <name val="Calibri"/>
      <family val="2"/>
      <scheme val="minor"/>
    </font>
    <font>
      <sz val="9"/>
      <color theme="1"/>
      <name val="Cambria"/>
      <family val="1"/>
    </font>
    <font>
      <b/>
      <sz val="9"/>
      <color theme="0"/>
      <name val="Cambria"/>
      <family val="1"/>
    </font>
    <font>
      <b/>
      <sz val="9"/>
      <color theme="1"/>
      <name val="Cambria"/>
      <family val="1"/>
    </font>
    <font>
      <sz val="10"/>
      <color theme="1"/>
      <name val="Cambria"/>
      <family val="1"/>
    </font>
    <font>
      <b/>
      <sz val="10"/>
      <color rgb="FF333333"/>
      <name val="Cambria"/>
      <family val="1"/>
    </font>
    <font>
      <b/>
      <sz val="10"/>
      <color theme="1"/>
      <name val="Cambria"/>
      <family val="1"/>
    </font>
    <font>
      <b/>
      <sz val="10"/>
      <color theme="0"/>
      <name val="Cambria"/>
      <family val="1"/>
    </font>
    <font>
      <sz val="9"/>
      <name val="Cambria"/>
      <family val="1"/>
    </font>
    <font>
      <sz val="10"/>
      <color rgb="FF666666"/>
      <name val="Open Sans"/>
      <family val="2"/>
    </font>
    <font>
      <b/>
      <sz val="9"/>
      <color rgb="FFFF0000"/>
      <name val="Cambria"/>
      <family val="1"/>
    </font>
    <font>
      <sz val="9"/>
      <color rgb="FFFF0000"/>
      <name val="Cambria"/>
      <family val="1"/>
    </font>
    <font>
      <b/>
      <sz val="11"/>
      <color theme="0"/>
      <name val="Calibri"/>
      <family val="2"/>
      <scheme val="minor"/>
    </font>
    <font>
      <sz val="10"/>
      <color rgb="FF000000"/>
      <name val="Cambria"/>
      <family val="1"/>
    </font>
    <font>
      <sz val="14"/>
      <color theme="1"/>
      <name val="Sakkal Majalla"/>
    </font>
    <font>
      <b/>
      <sz val="14"/>
      <color theme="0"/>
      <name val="Sakkal Majalla"/>
    </font>
    <font>
      <b/>
      <sz val="7"/>
      <color theme="0"/>
      <name val="Times New Roman"/>
      <family val="1"/>
    </font>
    <font>
      <sz val="12"/>
      <color theme="1"/>
      <name val="Sakkal Majalla"/>
    </font>
    <font>
      <b/>
      <sz val="12"/>
      <color theme="0"/>
      <name val="Sakkal Majalla"/>
    </font>
    <font>
      <sz val="12"/>
      <color rgb="FF00653B"/>
      <name val="Sakkal Majalla"/>
    </font>
    <font>
      <b/>
      <sz val="12"/>
      <color theme="1"/>
      <name val="Sakkal Majalla"/>
    </font>
    <font>
      <sz val="8"/>
      <color theme="1"/>
      <name val="Sakkal Majalla"/>
    </font>
    <font>
      <b/>
      <sz val="11"/>
      <color rgb="FFFF0000"/>
      <name val="Calibri"/>
      <family val="2"/>
      <scheme val="minor"/>
    </font>
    <font>
      <sz val="10"/>
      <name val="Cambria"/>
      <family val="1"/>
    </font>
    <font>
      <sz val="14"/>
      <name val="Sakkal Majalla"/>
    </font>
    <font>
      <sz val="14"/>
      <color rgb="FFFF0000"/>
      <name val="Sakkal Majalla"/>
    </font>
    <font>
      <i/>
      <sz val="9"/>
      <color rgb="FF545454"/>
      <name val="Cambria"/>
      <family val="1"/>
    </font>
  </fonts>
  <fills count="19">
    <fill>
      <patternFill patternType="none"/>
    </fill>
    <fill>
      <patternFill patternType="gray125"/>
    </fill>
    <fill>
      <patternFill patternType="solid">
        <fgColor theme="9" tint="0.79998168889431442"/>
        <bgColor indexed="64"/>
      </patternFill>
    </fill>
    <fill>
      <patternFill patternType="solid">
        <fgColor rgb="FFE2F6EC"/>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FEDDF"/>
        <bgColor indexed="64"/>
      </patternFill>
    </fill>
    <fill>
      <patternFill patternType="solid">
        <fgColor rgb="FFF6E2EC"/>
        <bgColor indexed="64"/>
      </patternFill>
    </fill>
    <fill>
      <patternFill patternType="solid">
        <fgColor rgb="FFF6FFF3"/>
        <bgColor indexed="64"/>
      </patternFill>
    </fill>
    <fill>
      <patternFill patternType="solid">
        <fgColor rgb="FFDDDDDD"/>
        <bgColor indexed="64"/>
      </patternFill>
    </fill>
    <fill>
      <patternFill patternType="solid">
        <fgColor rgb="FF24571D"/>
        <bgColor indexed="64"/>
      </patternFill>
    </fill>
    <fill>
      <patternFill patternType="solid">
        <fgColor rgb="FF00653B"/>
        <bgColor indexed="64"/>
      </patternFill>
    </fill>
    <fill>
      <patternFill patternType="solid">
        <fgColor rgb="FFFFFF00"/>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7">
    <xf numFmtId="0" fontId="0" fillId="0" borderId="0" xfId="0"/>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164" fontId="2" fillId="0" borderId="1" xfId="1" applyNumberFormat="1" applyFont="1" applyBorder="1"/>
    <xf numFmtId="164" fontId="2" fillId="0" borderId="1" xfId="1" applyNumberFormat="1" applyFont="1" applyBorder="1" applyAlignment="1">
      <alignment horizontal="center" vertical="center"/>
    </xf>
    <xf numFmtId="10" fontId="2" fillId="0" borderId="0" xfId="0" applyNumberFormat="1" applyFont="1"/>
    <xf numFmtId="10" fontId="2" fillId="0" borderId="0" xfId="2" applyNumberFormat="1" applyFont="1"/>
    <xf numFmtId="14" fontId="2" fillId="0" borderId="1" xfId="0" applyNumberFormat="1" applyFont="1" applyBorder="1"/>
    <xf numFmtId="0" fontId="2" fillId="0" borderId="1" xfId="0" applyFont="1" applyFill="1" applyBorder="1"/>
    <xf numFmtId="0" fontId="2" fillId="0" borderId="0" xfId="0" applyFont="1" applyBorder="1"/>
    <xf numFmtId="164" fontId="2" fillId="0" borderId="0" xfId="1" applyNumberFormat="1" applyFont="1"/>
    <xf numFmtId="0" fontId="4" fillId="2" borderId="1" xfId="0" applyFont="1" applyFill="1" applyBorder="1" applyAlignment="1">
      <alignment horizontal="center" vertical="center"/>
    </xf>
    <xf numFmtId="10" fontId="4" fillId="3" borderId="1" xfId="2" applyNumberFormat="1" applyFont="1" applyFill="1" applyBorder="1" applyAlignment="1">
      <alignment horizontal="center" vertical="center"/>
    </xf>
    <xf numFmtId="9" fontId="2" fillId="0" borderId="0" xfId="0" applyNumberFormat="1" applyFont="1"/>
    <xf numFmtId="0" fontId="2" fillId="0" borderId="1" xfId="0" applyFont="1" applyBorder="1" applyAlignment="1">
      <alignment horizontal="center" vertical="center"/>
    </xf>
    <xf numFmtId="16" fontId="4" fillId="3" borderId="1" xfId="0" applyNumberFormat="1" applyFont="1" applyFill="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164" fontId="2" fillId="0" borderId="10" xfId="1" applyNumberFormat="1" applyFont="1" applyFill="1" applyBorder="1" applyAlignment="1">
      <alignment horizontal="center" vertical="center"/>
    </xf>
    <xf numFmtId="0" fontId="2" fillId="0" borderId="11" xfId="0" applyFont="1" applyBorder="1"/>
    <xf numFmtId="0" fontId="2" fillId="0" borderId="0" xfId="0" applyFont="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wrapText="1"/>
    </xf>
    <xf numFmtId="0" fontId="5" fillId="0" borderId="0" xfId="0" applyFont="1" applyAlignment="1">
      <alignment horizontal="left" vertical="center"/>
    </xf>
    <xf numFmtId="0" fontId="5" fillId="0" borderId="0" xfId="0" applyFont="1"/>
    <xf numFmtId="0" fontId="6" fillId="2" borderId="1" xfId="0" applyFont="1" applyFill="1" applyBorder="1" applyAlignment="1">
      <alignment horizontal="center" vertical="center"/>
    </xf>
    <xf numFmtId="0" fontId="7" fillId="2" borderId="1" xfId="0" applyFont="1" applyFill="1" applyBorder="1" applyAlignment="1">
      <alignment horizontal="center" wrapText="1"/>
    </xf>
    <xf numFmtId="0" fontId="5" fillId="0" borderId="4" xfId="0" applyFont="1" applyBorder="1"/>
    <xf numFmtId="0" fontId="5" fillId="0" borderId="5" xfId="0" applyFont="1" applyBorder="1" applyAlignment="1">
      <alignment wrapTex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0" xfId="0" applyFont="1" applyBorder="1" applyAlignment="1">
      <alignment wrapText="1"/>
    </xf>
    <xf numFmtId="0" fontId="5" fillId="0" borderId="0" xfId="0" applyFont="1" applyBorder="1"/>
    <xf numFmtId="0" fontId="5" fillId="0" borderId="9" xfId="0" applyFont="1" applyBorder="1"/>
    <xf numFmtId="0" fontId="5" fillId="0" borderId="10" xfId="0" applyFont="1" applyBorder="1" applyAlignment="1">
      <alignment horizontal="left" vertical="center"/>
    </xf>
    <xf numFmtId="0" fontId="5" fillId="0" borderId="11" xfId="0" applyFont="1" applyBorder="1"/>
    <xf numFmtId="0" fontId="3" fillId="6" borderId="0" xfId="0" applyFont="1" applyFill="1" applyBorder="1" applyAlignment="1"/>
    <xf numFmtId="0" fontId="3" fillId="6" borderId="2" xfId="0" applyFont="1" applyFill="1" applyBorder="1" applyAlignment="1"/>
    <xf numFmtId="0" fontId="3" fillId="5" borderId="2" xfId="0" applyFont="1" applyFill="1" applyBorder="1" applyAlignment="1">
      <alignment horizontal="left" vertical="center"/>
    </xf>
    <xf numFmtId="0" fontId="2" fillId="8" borderId="2" xfId="0" applyFont="1" applyFill="1" applyBorder="1"/>
    <xf numFmtId="0" fontId="2" fillId="9" borderId="2" xfId="0" applyFont="1" applyFill="1" applyBorder="1"/>
    <xf numFmtId="0" fontId="2" fillId="10" borderId="2" xfId="0" applyFont="1" applyFill="1" applyBorder="1"/>
    <xf numFmtId="164" fontId="2" fillId="11" borderId="1" xfId="1" applyNumberFormat="1" applyFont="1" applyFill="1" applyBorder="1" applyAlignment="1">
      <alignment horizontal="center" vertical="center"/>
    </xf>
    <xf numFmtId="10" fontId="2" fillId="11" borderId="1" xfId="0" applyNumberFormat="1" applyFont="1" applyFill="1" applyBorder="1" applyAlignment="1">
      <alignment horizontal="center" vertical="center"/>
    </xf>
    <xf numFmtId="0" fontId="2" fillId="0" borderId="10" xfId="0" applyFont="1" applyFill="1" applyBorder="1"/>
    <xf numFmtId="0" fontId="9" fillId="0" borderId="1" xfId="0" applyFont="1" applyFill="1" applyBorder="1"/>
    <xf numFmtId="3" fontId="2" fillId="12" borderId="1" xfId="0" applyNumberFormat="1" applyFont="1" applyFill="1" applyBorder="1" applyAlignment="1">
      <alignment horizontal="center" vertical="center"/>
    </xf>
    <xf numFmtId="0" fontId="4" fillId="0" borderId="0" xfId="0" applyFont="1"/>
    <xf numFmtId="14" fontId="2" fillId="0" borderId="0" xfId="0" applyNumberFormat="1" applyFont="1" applyBorder="1"/>
    <xf numFmtId="0" fontId="2" fillId="0" borderId="0" xfId="0" applyFont="1" applyFill="1" applyBorder="1"/>
    <xf numFmtId="43" fontId="2" fillId="0" borderId="0" xfId="1" applyFont="1"/>
    <xf numFmtId="164" fontId="10" fillId="0" borderId="0" xfId="0" applyNumberFormat="1" applyFont="1"/>
    <xf numFmtId="43" fontId="2" fillId="0" borderId="0" xfId="0" applyNumberFormat="1" applyFont="1"/>
    <xf numFmtId="164" fontId="2" fillId="0" borderId="0" xfId="0" applyNumberFormat="1" applyFont="1" applyBorder="1"/>
    <xf numFmtId="165" fontId="2" fillId="0" borderId="0" xfId="2" applyNumberFormat="1" applyFont="1"/>
    <xf numFmtId="164" fontId="11" fillId="0" borderId="0" xfId="0" applyNumberFormat="1" applyFont="1"/>
    <xf numFmtId="164" fontId="12" fillId="0" borderId="0" xfId="0" applyNumberFormat="1" applyFont="1"/>
    <xf numFmtId="14" fontId="2" fillId="0" borderId="0" xfId="0" applyNumberFormat="1" applyFont="1"/>
    <xf numFmtId="2" fontId="2" fillId="0" borderId="0" xfId="0" applyNumberFormat="1" applyFont="1" applyBorder="1" applyAlignment="1">
      <alignment horizontal="center" vertical="center"/>
    </xf>
    <xf numFmtId="0" fontId="11" fillId="0" borderId="0" xfId="0" applyFont="1"/>
    <xf numFmtId="43" fontId="2" fillId="0" borderId="0" xfId="1" applyFont="1" applyBorder="1" applyAlignment="1">
      <alignment horizontal="center" vertical="center"/>
    </xf>
    <xf numFmtId="166" fontId="2" fillId="11" borderId="1" xfId="1" applyNumberFormat="1" applyFont="1" applyFill="1" applyBorder="1" applyAlignment="1">
      <alignment horizontal="center" vertical="center"/>
    </xf>
    <xf numFmtId="43" fontId="2" fillId="11" borderId="1" xfId="1" applyFont="1" applyFill="1" applyBorder="1" applyAlignment="1">
      <alignment horizontal="center" vertical="center"/>
    </xf>
    <xf numFmtId="0" fontId="2" fillId="11" borderId="1" xfId="0" applyFont="1" applyFill="1" applyBorder="1"/>
    <xf numFmtId="10" fontId="2" fillId="0" borderId="0" xfId="2" applyNumberFormat="1" applyFont="1" applyAlignment="1">
      <alignment horizontal="center" vertical="center"/>
    </xf>
    <xf numFmtId="167" fontId="2" fillId="0" borderId="0" xfId="1" applyNumberFormat="1" applyFont="1" applyBorder="1" applyAlignment="1">
      <alignment horizontal="center" vertical="center"/>
    </xf>
    <xf numFmtId="0" fontId="2" fillId="13" borderId="1" xfId="0" applyFont="1" applyFill="1" applyBorder="1"/>
    <xf numFmtId="164" fontId="2" fillId="14" borderId="1" xfId="1" applyNumberFormat="1" applyFont="1" applyFill="1" applyBorder="1" applyAlignment="1">
      <alignment horizontal="center" vertical="center"/>
    </xf>
    <xf numFmtId="0" fontId="5" fillId="0" borderId="0" xfId="0" applyFont="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164" fontId="4" fillId="11" borderId="1" xfId="1" applyNumberFormat="1" applyFont="1" applyFill="1" applyBorder="1" applyAlignment="1">
      <alignment horizontal="center" vertical="center"/>
    </xf>
    <xf numFmtId="168" fontId="0" fillId="0" borderId="0" xfId="2" applyNumberFormat="1" applyFont="1"/>
    <xf numFmtId="169" fontId="2" fillId="0" borderId="0" xfId="0" applyNumberFormat="1" applyFont="1"/>
    <xf numFmtId="41" fontId="2" fillId="0" borderId="0" xfId="0" applyNumberFormat="1" applyFont="1"/>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11" borderId="1" xfId="0" applyFont="1" applyFill="1" applyBorder="1" applyAlignment="1">
      <alignment vertical="center" wrapText="1"/>
    </xf>
    <xf numFmtId="0" fontId="2" fillId="0" borderId="8" xfId="0" applyFont="1" applyBorder="1" applyAlignment="1">
      <alignment vertical="center" wrapText="1"/>
    </xf>
    <xf numFmtId="41" fontId="2" fillId="0" borderId="0" xfId="2" applyNumberFormat="1" applyFont="1"/>
    <xf numFmtId="15" fontId="2" fillId="0" borderId="0" xfId="2" applyNumberFormat="1" applyFont="1"/>
    <xf numFmtId="15" fontId="2" fillId="0" borderId="0" xfId="0" applyNumberFormat="1" applyFont="1"/>
    <xf numFmtId="6" fontId="2" fillId="0" borderId="0" xfId="0" applyNumberFormat="1" applyFont="1"/>
    <xf numFmtId="0" fontId="3"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65" fontId="2" fillId="0" borderId="0" xfId="0" applyNumberFormat="1" applyFont="1"/>
    <xf numFmtId="170" fontId="2" fillId="0" borderId="0" xfId="0" applyNumberFormat="1" applyFont="1"/>
    <xf numFmtId="0" fontId="0" fillId="0" borderId="0" xfId="0" applyAlignment="1"/>
    <xf numFmtId="0" fontId="15" fillId="0" borderId="18" xfId="0" applyFont="1" applyBorder="1" applyAlignment="1">
      <alignment horizontal="justify" vertical="center"/>
    </xf>
    <xf numFmtId="0" fontId="15" fillId="0" borderId="17" xfId="0" applyFont="1" applyBorder="1" applyAlignment="1">
      <alignment horizontal="justify" vertical="center"/>
    </xf>
    <xf numFmtId="0" fontId="15" fillId="0" borderId="1" xfId="0" applyFont="1" applyBorder="1" applyAlignment="1">
      <alignment horizontal="justify" vertical="center"/>
    </xf>
    <xf numFmtId="164" fontId="2" fillId="0" borderId="0" xfId="1" applyNumberFormat="1" applyFont="1" applyFill="1" applyBorder="1" applyAlignment="1">
      <alignment horizontal="center" vertical="center"/>
    </xf>
    <xf numFmtId="164" fontId="2" fillId="0" borderId="8" xfId="1" applyNumberFormat="1" applyFont="1" applyBorder="1"/>
    <xf numFmtId="171" fontId="2" fillId="0" borderId="0" xfId="2" applyNumberFormat="1" applyFont="1"/>
    <xf numFmtId="164" fontId="3" fillId="0" borderId="0"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xf>
    <xf numFmtId="0" fontId="3" fillId="6" borderId="2" xfId="0" applyFont="1" applyFill="1" applyBorder="1"/>
    <xf numFmtId="0" fontId="3" fillId="6" borderId="0" xfId="0" applyFont="1" applyFill="1"/>
    <xf numFmtId="0" fontId="2" fillId="0" borderId="0" xfId="0" applyFont="1" applyAlignment="1">
      <alignment vertical="center"/>
    </xf>
    <xf numFmtId="0" fontId="3" fillId="0" borderId="0" xfId="0" applyFont="1" applyAlignment="1">
      <alignment horizontal="center" vertical="center"/>
    </xf>
    <xf numFmtId="10" fontId="2" fillId="0" borderId="0" xfId="0" applyNumberFormat="1" applyFont="1" applyAlignment="1">
      <alignment horizontal="center" vertical="center"/>
    </xf>
    <xf numFmtId="0" fontId="9" fillId="0" borderId="1" xfId="0" applyFont="1" applyBorder="1"/>
    <xf numFmtId="2" fontId="2" fillId="0" borderId="0" xfId="0" applyNumberFormat="1" applyFont="1" applyAlignment="1">
      <alignment horizontal="center" vertical="center"/>
    </xf>
    <xf numFmtId="166" fontId="4" fillId="11" borderId="1" xfId="1" applyNumberFormat="1" applyFont="1" applyFill="1" applyBorder="1" applyAlignment="1">
      <alignment horizontal="center" vertical="center"/>
    </xf>
    <xf numFmtId="0" fontId="18" fillId="0" borderId="0" xfId="0" applyFont="1"/>
    <xf numFmtId="0" fontId="20" fillId="0" borderId="0" xfId="0" applyFont="1"/>
    <xf numFmtId="172" fontId="2" fillId="0" borderId="0" xfId="0" applyNumberFormat="1" applyFont="1"/>
    <xf numFmtId="173" fontId="2" fillId="0" borderId="0" xfId="0" applyNumberFormat="1" applyFont="1"/>
    <xf numFmtId="174" fontId="2" fillId="0" borderId="0" xfId="0" applyNumberFormat="1" applyFont="1"/>
    <xf numFmtId="166" fontId="2" fillId="0" borderId="0" xfId="1" applyNumberFormat="1" applyFont="1" applyFill="1" applyBorder="1" applyAlignment="1">
      <alignment horizontal="center" vertical="center"/>
    </xf>
    <xf numFmtId="0" fontId="2" fillId="0" borderId="0" xfId="0" applyFont="1" applyFill="1" applyBorder="1" applyAlignment="1">
      <alignment horizontal="right" readingOrder="2"/>
    </xf>
    <xf numFmtId="0" fontId="22" fillId="0" borderId="0" xfId="0" applyFont="1" applyAlignment="1">
      <alignment vertical="center"/>
    </xf>
    <xf numFmtId="0" fontId="2" fillId="0" borderId="0" xfId="0" applyFont="1" applyFill="1"/>
    <xf numFmtId="0" fontId="0" fillId="0" borderId="0" xfId="0" applyBorder="1"/>
    <xf numFmtId="0" fontId="14" fillId="0" borderId="1" xfId="0" applyFont="1" applyFill="1" applyBorder="1" applyAlignment="1">
      <alignment horizontal="center" vertical="center" wrapText="1"/>
    </xf>
    <xf numFmtId="0" fontId="15" fillId="0" borderId="10" xfId="0" applyFont="1" applyBorder="1" applyAlignment="1">
      <alignment horizontal="justify" vertical="center" readingOrder="2"/>
    </xf>
    <xf numFmtId="0" fontId="16" fillId="15" borderId="1" xfId="0" applyFont="1" applyFill="1" applyBorder="1" applyAlignment="1">
      <alignment horizontal="right" vertical="center" readingOrder="2"/>
    </xf>
    <xf numFmtId="0" fontId="16" fillId="15" borderId="15" xfId="0" applyFont="1" applyFill="1" applyBorder="1" applyAlignment="1">
      <alignment horizontal="right" vertical="center" readingOrder="2"/>
    </xf>
    <xf numFmtId="0" fontId="15" fillId="0" borderId="1" xfId="0" applyFont="1" applyBorder="1" applyAlignment="1">
      <alignment horizontal="right" vertical="center" wrapText="1"/>
    </xf>
    <xf numFmtId="0" fontId="15" fillId="0" borderId="16" xfId="0" applyFont="1" applyBorder="1" applyAlignment="1">
      <alignment horizontal="right" vertical="center" readingOrder="2"/>
    </xf>
    <xf numFmtId="0" fontId="15" fillId="0" borderId="16" xfId="0" applyFont="1" applyBorder="1" applyAlignment="1">
      <alignment horizontal="right" vertical="center" wrapText="1" readingOrder="2"/>
    </xf>
    <xf numFmtId="0" fontId="24" fillId="0" borderId="1" xfId="0" applyFont="1" applyBorder="1" applyAlignment="1">
      <alignment horizontal="justify" vertical="center" wrapText="1"/>
    </xf>
    <xf numFmtId="0" fontId="25" fillId="0" borderId="18" xfId="0" applyFont="1" applyBorder="1" applyAlignment="1">
      <alignment horizontal="right" vertical="center" wrapText="1"/>
    </xf>
    <xf numFmtId="0" fontId="25" fillId="0" borderId="18" xfId="0" applyFont="1" applyBorder="1" applyAlignment="1">
      <alignment horizontal="justify" vertical="center"/>
    </xf>
    <xf numFmtId="0" fontId="25" fillId="0" borderId="17" xfId="0" applyFont="1" applyBorder="1" applyAlignment="1">
      <alignment horizontal="justify" vertical="center"/>
    </xf>
    <xf numFmtId="0" fontId="9" fillId="0" borderId="0" xfId="0" applyFont="1"/>
    <xf numFmtId="0" fontId="9" fillId="0" borderId="0" xfId="0" applyFont="1" applyAlignment="1">
      <alignment horizontal="center" vertical="center"/>
    </xf>
    <xf numFmtId="0" fontId="21" fillId="0" borderId="1" xfId="0" applyFont="1" applyBorder="1" applyAlignment="1">
      <alignment horizontal="center" vertical="center"/>
    </xf>
    <xf numFmtId="0" fontId="19" fillId="16" borderId="1" xfId="0" applyFont="1" applyFill="1" applyBorder="1" applyAlignment="1">
      <alignment horizontal="center"/>
    </xf>
    <xf numFmtId="10" fontId="4" fillId="0" borderId="0" xfId="2" applyNumberFormat="1" applyFont="1" applyFill="1" applyBorder="1" applyAlignment="1">
      <alignment horizontal="center" vertical="center" wrapText="1"/>
    </xf>
    <xf numFmtId="10" fontId="4" fillId="0" borderId="0" xfId="2" applyNumberFormat="1" applyFont="1" applyFill="1" applyBorder="1" applyAlignment="1">
      <alignment horizontal="center" vertical="center"/>
    </xf>
    <xf numFmtId="164" fontId="2" fillId="9" borderId="1" xfId="1" applyNumberFormat="1" applyFont="1" applyFill="1" applyBorder="1" applyProtection="1">
      <protection locked="0"/>
    </xf>
    <xf numFmtId="10" fontId="2" fillId="8" borderId="1" xfId="2" applyNumberFormat="1" applyFont="1" applyFill="1" applyBorder="1" applyProtection="1">
      <protection locked="0"/>
    </xf>
    <xf numFmtId="0" fontId="2" fillId="9" borderId="1" xfId="0" applyFont="1" applyFill="1" applyBorder="1" applyProtection="1">
      <protection locked="0"/>
    </xf>
    <xf numFmtId="14" fontId="2" fillId="10" borderId="1" xfId="0" applyNumberFormat="1" applyFont="1" applyFill="1" applyBorder="1" applyProtection="1">
      <protection locked="0"/>
    </xf>
    <xf numFmtId="3" fontId="2" fillId="12" borderId="1" xfId="0" applyNumberFormat="1" applyFont="1" applyFill="1" applyBorder="1" applyAlignment="1" applyProtection="1">
      <alignment horizontal="center" vertical="center"/>
      <protection locked="0"/>
    </xf>
    <xf numFmtId="164" fontId="2" fillId="9" borderId="2" xfId="1" applyNumberFormat="1" applyFont="1" applyFill="1" applyBorder="1" applyProtection="1">
      <protection locked="0"/>
    </xf>
    <xf numFmtId="43" fontId="2" fillId="9" borderId="2" xfId="1" applyFont="1" applyFill="1" applyBorder="1" applyProtection="1">
      <protection locked="0"/>
    </xf>
    <xf numFmtId="164" fontId="0" fillId="13" borderId="1" xfId="1" applyNumberFormat="1" applyFont="1" applyFill="1" applyBorder="1" applyProtection="1">
      <protection locked="0"/>
    </xf>
    <xf numFmtId="0" fontId="0" fillId="13" borderId="1" xfId="0" applyFill="1" applyBorder="1" applyProtection="1">
      <protection locked="0"/>
    </xf>
    <xf numFmtId="15" fontId="0" fillId="13" borderId="1" xfId="0" applyNumberFormat="1" applyFill="1" applyBorder="1" applyProtection="1">
      <protection locked="0"/>
    </xf>
    <xf numFmtId="10" fontId="2" fillId="11" borderId="1" xfId="2" applyNumberFormat="1" applyFont="1" applyFill="1" applyBorder="1" applyAlignment="1">
      <alignment horizontal="center" vertical="center"/>
    </xf>
    <xf numFmtId="0" fontId="26" fillId="17" borderId="18" xfId="0" applyFont="1" applyFill="1" applyBorder="1" applyAlignment="1">
      <alignment horizontal="justify" vertical="center"/>
    </xf>
    <xf numFmtId="0" fontId="0" fillId="0" borderId="0" xfId="0" applyAlignment="1">
      <alignment vertical="center" wrapText="1"/>
    </xf>
    <xf numFmtId="0" fontId="3" fillId="6" borderId="2" xfId="0" applyFont="1" applyFill="1" applyBorder="1" applyAlignment="1">
      <alignment horizontal="center" vertical="center" wrapText="1"/>
    </xf>
    <xf numFmtId="164" fontId="2" fillId="9" borderId="1" xfId="1" applyNumberFormat="1" applyFont="1" applyFill="1" applyBorder="1" applyAlignment="1" applyProtection="1">
      <alignment vertical="center"/>
      <protection locked="0"/>
    </xf>
    <xf numFmtId="9" fontId="2" fillId="9" borderId="1" xfId="2" applyFont="1" applyFill="1" applyBorder="1" applyAlignment="1" applyProtection="1">
      <alignment horizontal="center" vertical="center"/>
      <protection locked="0"/>
    </xf>
    <xf numFmtId="0" fontId="2" fillId="0" borderId="1" xfId="0" applyFont="1" applyBorder="1" applyProtection="1">
      <protection locked="0"/>
    </xf>
    <xf numFmtId="0" fontId="2" fillId="0" borderId="0" xfId="0" applyFont="1" applyProtection="1">
      <protection locked="0"/>
    </xf>
    <xf numFmtId="164" fontId="2" fillId="0" borderId="1" xfId="1" applyNumberFormat="1" applyFont="1" applyBorder="1" applyProtection="1">
      <protection locked="0"/>
    </xf>
    <xf numFmtId="14" fontId="2" fillId="0" borderId="1" xfId="0" applyNumberFormat="1" applyFont="1" applyBorder="1" applyProtection="1">
      <protection locked="0"/>
    </xf>
    <xf numFmtId="0" fontId="2" fillId="0" borderId="1" xfId="0" applyFont="1" applyBorder="1" applyAlignment="1" applyProtection="1">
      <alignment horizontal="center" vertical="center"/>
    </xf>
    <xf numFmtId="14" fontId="2" fillId="0" borderId="1" xfId="0" applyNumberFormat="1" applyFont="1" applyBorder="1" applyProtection="1"/>
    <xf numFmtId="164" fontId="2" fillId="0" borderId="1" xfId="1" applyNumberFormat="1" applyFont="1" applyBorder="1" applyAlignment="1" applyProtection="1">
      <alignment horizontal="center" vertical="center"/>
    </xf>
    <xf numFmtId="164" fontId="2" fillId="0" borderId="1" xfId="0" applyNumberFormat="1" applyFont="1" applyBorder="1" applyProtection="1"/>
    <xf numFmtId="41" fontId="2" fillId="0" borderId="1" xfId="0" applyNumberFormat="1" applyFont="1" applyBorder="1" applyProtection="1">
      <protection locked="0"/>
    </xf>
    <xf numFmtId="14" fontId="2" fillId="14" borderId="1" xfId="1" applyNumberFormat="1" applyFont="1" applyFill="1" applyBorder="1" applyAlignment="1" applyProtection="1">
      <alignment horizontal="center" vertical="center"/>
      <protection locked="0"/>
    </xf>
    <xf numFmtId="164" fontId="2" fillId="14" borderId="1" xfId="1" applyNumberFormat="1" applyFont="1" applyFill="1" applyBorder="1" applyAlignment="1" applyProtection="1">
      <alignment horizontal="center" vertical="center"/>
      <protection locked="0"/>
    </xf>
    <xf numFmtId="14" fontId="0" fillId="13" borderId="1" xfId="0" applyNumberFormat="1" applyFill="1" applyBorder="1" applyAlignment="1" applyProtection="1">
      <alignment horizontal="center"/>
      <protection locked="0"/>
    </xf>
    <xf numFmtId="164" fontId="0" fillId="14" borderId="1" xfId="1" applyNumberFormat="1" applyFont="1" applyFill="1" applyBorder="1" applyProtection="1"/>
    <xf numFmtId="10" fontId="2" fillId="14" borderId="1" xfId="2" applyNumberFormat="1" applyFont="1" applyFill="1" applyBorder="1" applyAlignment="1" applyProtection="1">
      <alignment horizontal="center" vertical="center"/>
    </xf>
    <xf numFmtId="14" fontId="0" fillId="13" borderId="1" xfId="0" applyNumberFormat="1" applyFill="1" applyBorder="1" applyProtection="1">
      <protection locked="0"/>
    </xf>
    <xf numFmtId="0" fontId="2" fillId="11" borderId="1" xfId="0" applyFont="1" applyFill="1" applyBorder="1" applyAlignment="1" applyProtection="1">
      <alignment vertical="center" wrapText="1"/>
      <protection locked="0"/>
    </xf>
    <xf numFmtId="9" fontId="9" fillId="9" borderId="1" xfId="2" applyFont="1" applyFill="1" applyBorder="1" applyAlignment="1" applyProtection="1">
      <alignment horizontal="center" vertical="center"/>
      <protection locked="0"/>
    </xf>
    <xf numFmtId="0" fontId="2" fillId="0" borderId="21" xfId="0" applyFont="1" applyBorder="1" applyAlignment="1">
      <alignment horizontal="center" vertical="center"/>
    </xf>
    <xf numFmtId="14" fontId="2" fillId="0" borderId="21" xfId="0" applyNumberFormat="1" applyFont="1" applyBorder="1"/>
    <xf numFmtId="164" fontId="2" fillId="0" borderId="21" xfId="1" applyNumberFormat="1" applyFont="1" applyBorder="1" applyAlignment="1">
      <alignment horizontal="center" vertical="center"/>
    </xf>
    <xf numFmtId="164" fontId="2" fillId="0" borderId="21" xfId="0" applyNumberFormat="1" applyFont="1" applyBorder="1"/>
    <xf numFmtId="164" fontId="2" fillId="0" borderId="21" xfId="1" applyNumberFormat="1" applyFont="1" applyBorder="1"/>
    <xf numFmtId="43" fontId="2" fillId="0" borderId="0" xfId="1" applyFont="1" applyBorder="1"/>
    <xf numFmtId="164" fontId="2" fillId="0" borderId="0" xfId="1" applyNumberFormat="1" applyFont="1" applyBorder="1" applyAlignment="1">
      <alignment horizontal="center" vertical="center"/>
    </xf>
    <xf numFmtId="164" fontId="2" fillId="0" borderId="0" xfId="1" applyNumberFormat="1" applyFont="1" applyBorder="1"/>
    <xf numFmtId="0" fontId="2" fillId="0" borderId="21" xfId="0" applyFont="1" applyBorder="1" applyAlignment="1" applyProtection="1">
      <alignment horizontal="center" vertical="center"/>
    </xf>
    <xf numFmtId="14" fontId="2" fillId="0" borderId="21" xfId="0" applyNumberFormat="1" applyFont="1" applyBorder="1" applyProtection="1"/>
    <xf numFmtId="164" fontId="2" fillId="0" borderId="21" xfId="1" applyNumberFormat="1" applyFont="1" applyBorder="1" applyAlignment="1" applyProtection="1">
      <alignment horizontal="center" vertical="center"/>
    </xf>
    <xf numFmtId="164" fontId="2" fillId="0" borderId="21" xfId="0" applyNumberFormat="1" applyFont="1" applyBorder="1" applyProtection="1"/>
    <xf numFmtId="0" fontId="2" fillId="0" borderId="0" xfId="0" applyFont="1" applyBorder="1" applyAlignment="1" applyProtection="1">
      <alignment horizontal="center" vertical="center"/>
    </xf>
    <xf numFmtId="14" fontId="2" fillId="0" borderId="0" xfId="0" applyNumberFormat="1" applyFont="1" applyBorder="1" applyProtection="1"/>
    <xf numFmtId="164" fontId="2" fillId="0" borderId="0" xfId="1" applyNumberFormat="1" applyFont="1" applyBorder="1" applyAlignment="1" applyProtection="1">
      <alignment horizontal="center" vertical="center"/>
    </xf>
    <xf numFmtId="164" fontId="2" fillId="0" borderId="0" xfId="0" applyNumberFormat="1" applyFont="1" applyBorder="1" applyProtection="1"/>
    <xf numFmtId="173" fontId="2" fillId="0" borderId="0" xfId="0" applyNumberFormat="1" applyFont="1" applyBorder="1"/>
    <xf numFmtId="15" fontId="2" fillId="0" borderId="0" xfId="0" applyNumberFormat="1" applyFont="1" applyBorder="1"/>
    <xf numFmtId="0" fontId="27" fillId="18" borderId="25" xfId="0" applyFont="1" applyFill="1" applyBorder="1"/>
    <xf numFmtId="1" fontId="27" fillId="18" borderId="25" xfId="0" applyNumberFormat="1" applyFont="1" applyFill="1" applyBorder="1"/>
    <xf numFmtId="0" fontId="8" fillId="7" borderId="1" xfId="0" applyFont="1"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0" borderId="0" xfId="0" applyFont="1" applyBorder="1" applyAlignment="1">
      <alignment horizontal="right" wrapText="1" readingOrder="2"/>
    </xf>
    <xf numFmtId="0" fontId="2" fillId="0" borderId="0" xfId="0" applyFont="1" applyBorder="1" applyAlignment="1">
      <alignment horizontal="right" readingOrder="2"/>
    </xf>
    <xf numFmtId="0" fontId="9" fillId="0" borderId="1" xfId="0" applyFont="1" applyBorder="1" applyAlignment="1">
      <alignment horizontal="right"/>
    </xf>
    <xf numFmtId="164" fontId="3" fillId="5" borderId="2" xfId="1" applyNumberFormat="1" applyFont="1" applyFill="1" applyBorder="1" applyAlignment="1">
      <alignment horizontal="center" vertical="center"/>
    </xf>
    <xf numFmtId="164" fontId="3" fillId="5" borderId="3" xfId="1" applyNumberFormat="1" applyFont="1" applyFill="1" applyBorder="1" applyAlignment="1">
      <alignment horizontal="center" vertical="center"/>
    </xf>
    <xf numFmtId="0" fontId="3" fillId="5" borderId="1" xfId="0" applyFont="1" applyFill="1" applyBorder="1" applyAlignment="1">
      <alignment horizontal="center"/>
    </xf>
    <xf numFmtId="0" fontId="3" fillId="6" borderId="0" xfId="0" applyFont="1" applyFill="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0" borderId="1" xfId="0" applyFont="1" applyBorder="1" applyAlignment="1">
      <alignment horizontal="right" vertical="center" wrapText="1"/>
    </xf>
    <xf numFmtId="0" fontId="4" fillId="2" borderId="1" xfId="0" applyFont="1" applyFill="1" applyBorder="1" applyAlignment="1">
      <alignment horizontal="center"/>
    </xf>
    <xf numFmtId="0" fontId="3" fillId="6" borderId="1" xfId="0" applyFont="1" applyFill="1" applyBorder="1" applyAlignment="1">
      <alignment horizontal="center"/>
    </xf>
    <xf numFmtId="0" fontId="3" fillId="4" borderId="0" xfId="0" applyFont="1" applyFill="1" applyAlignment="1">
      <alignment horizontal="center" vertical="center"/>
    </xf>
    <xf numFmtId="0" fontId="12" fillId="0" borderId="14" xfId="0" applyFont="1" applyFill="1" applyBorder="1" applyAlignment="1">
      <alignment horizont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164" fontId="13" fillId="7" borderId="23" xfId="1" applyNumberFormat="1" applyFont="1" applyFill="1" applyBorder="1" applyAlignment="1">
      <alignment horizontal="center" vertical="center"/>
    </xf>
    <xf numFmtId="164" fontId="13" fillId="7" borderId="0" xfId="1" applyNumberFormat="1" applyFont="1" applyFill="1" applyBorder="1" applyAlignment="1">
      <alignment horizontal="center" vertical="center"/>
    </xf>
    <xf numFmtId="0" fontId="2" fillId="0" borderId="1" xfId="0" applyFont="1" applyFill="1" applyBorder="1" applyAlignment="1">
      <alignment horizontal="right"/>
    </xf>
    <xf numFmtId="0" fontId="2" fillId="0" borderId="1" xfId="0" applyFont="1" applyBorder="1" applyAlignment="1">
      <alignment horizontal="right"/>
    </xf>
    <xf numFmtId="10" fontId="19" fillId="16" borderId="2" xfId="0" applyNumberFormat="1" applyFont="1" applyFill="1" applyBorder="1" applyAlignment="1">
      <alignment horizontal="center"/>
    </xf>
    <xf numFmtId="0" fontId="19" fillId="16" borderId="19" xfId="0" applyFont="1" applyFill="1" applyBorder="1" applyAlignment="1">
      <alignment horizontal="center"/>
    </xf>
    <xf numFmtId="0" fontId="19" fillId="16" borderId="3" xfId="0" applyFont="1" applyFill="1" applyBorder="1" applyAlignment="1">
      <alignment horizontal="center"/>
    </xf>
    <xf numFmtId="0" fontId="4" fillId="0" borderId="0" xfId="0" applyFont="1" applyAlignment="1">
      <alignment horizontal="right" wrapText="1"/>
    </xf>
    <xf numFmtId="0" fontId="2" fillId="0" borderId="0" xfId="0" applyFont="1" applyAlignment="1">
      <alignment horizontal="right" wrapText="1"/>
    </xf>
    <xf numFmtId="0" fontId="18" fillId="0" borderId="2" xfId="0" applyFont="1" applyBorder="1" applyAlignment="1">
      <alignment horizontal="center"/>
    </xf>
    <xf numFmtId="0" fontId="18" fillId="0" borderId="19" xfId="0" applyFont="1" applyBorder="1" applyAlignment="1">
      <alignment horizontal="center"/>
    </xf>
    <xf numFmtId="0" fontId="18" fillId="0" borderId="3" xfId="0" applyFont="1" applyBorder="1" applyAlignment="1">
      <alignment horizontal="center"/>
    </xf>
    <xf numFmtId="0" fontId="19" fillId="16" borderId="1" xfId="0" applyFont="1" applyFill="1" applyBorder="1" applyAlignment="1">
      <alignment horizont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Border="1" applyAlignment="1">
      <alignment horizontal="right" wrapText="1"/>
    </xf>
    <xf numFmtId="0" fontId="18" fillId="0" borderId="1" xfId="0" applyFont="1" applyBorder="1" applyAlignment="1">
      <alignment horizontal="right" vertical="center" wrapText="1"/>
    </xf>
    <xf numFmtId="0" fontId="3" fillId="6" borderId="0" xfId="0" applyFont="1" applyFill="1" applyAlignment="1">
      <alignment horizontal="center"/>
    </xf>
    <xf numFmtId="0" fontId="12" fillId="0" borderId="14" xfId="0" applyFont="1" applyBorder="1" applyAlignment="1">
      <alignment horizontal="center"/>
    </xf>
  </cellXfs>
  <cellStyles count="3">
    <cellStyle name="Comma" xfId="1" builtinId="3"/>
    <cellStyle name="Normal" xfId="0" builtinId="0"/>
    <cellStyle name="Percent" xfId="2" builtinId="5"/>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EE4CE"/>
      <color rgb="FF006600"/>
      <color rgb="FFEFF3FB"/>
      <color rgb="FF24571D"/>
      <color rgb="FFDDDDDD"/>
      <color rgb="FFF6FFF3"/>
      <color rgb="FFDFEDDF"/>
      <color rgb="FFF6E2EC"/>
      <color rgb="FF008080"/>
      <color rgb="FFD9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49530</xdr:colOff>
      <xdr:row>15</xdr:row>
      <xdr:rowOff>114300</xdr:rowOff>
    </xdr:from>
    <xdr:to>
      <xdr:col>10</xdr:col>
      <xdr:colOff>554355</xdr:colOff>
      <xdr:row>15</xdr:row>
      <xdr:rowOff>114300</xdr:rowOff>
    </xdr:to>
    <xdr:cxnSp macro="">
      <xdr:nvCxnSpPr>
        <xdr:cNvPr id="2" name="Straight Arrow Connector 1">
          <a:extLst>
            <a:ext uri="{FF2B5EF4-FFF2-40B4-BE49-F238E27FC236}">
              <a16:creationId xmlns:a16="http://schemas.microsoft.com/office/drawing/2014/main" id="{11FB8FE9-C8B7-4AC8-9B23-F2D0A35489BC}"/>
            </a:ext>
          </a:extLst>
        </xdr:cNvPr>
        <xdr:cNvCxnSpPr/>
      </xdr:nvCxnSpPr>
      <xdr:spPr>
        <a:xfrm>
          <a:off x="9979816845" y="2918460"/>
          <a:ext cx="504825"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224123</xdr:colOff>
      <xdr:row>5</xdr:row>
      <xdr:rowOff>244632</xdr:rowOff>
    </xdr:from>
    <xdr:ext cx="5894737" cy="47164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8ED53E9-2B75-4FDA-8E79-84074C47D4A7}"/>
                </a:ext>
              </a:extLst>
            </xdr:cNvPr>
            <xdr:cNvSpPr txBox="1"/>
          </xdr:nvSpPr>
          <xdr:spPr>
            <a:xfrm flipH="1">
              <a:off x="10187155140" y="150828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20,000 −200</m:t>
                      </m:r>
                    </m:e>
                  </m:d>
                  <m:r>
                    <a:rPr lang="en-US" sz="1200" b="0" i="1">
                      <a:latin typeface="Cambria Math" panose="02040503050406030204" pitchFamily="18" charset="0"/>
                      <a:ea typeface="Cambria Math" panose="02040503050406030204" pitchFamily="18" charset="0"/>
                    </a:rPr>
                    <m:t>=19,800</m:t>
                  </m:r>
                  <m:r>
                    <a:rPr lang="en-US" sz="1200" b="0" i="1">
                      <a:solidFill>
                        <a:schemeClr val="tx1"/>
                      </a:solidFill>
                      <a:effectLst/>
                      <a:latin typeface="Cambria Math" panose="02040503050406030204" pitchFamily="18" charset="0"/>
                      <a:ea typeface="Cambria Math" panose="02040503050406030204" pitchFamily="18" charset="0"/>
                      <a:cs typeface="+mn-cs"/>
                    </a:rPr>
                    <m:t> </m:t>
                  </m:r>
                  <m:r>
                    <a:rPr lang="en-US" sz="1200" b="0" i="1">
                      <a:latin typeface="Cambria Math" panose="02040503050406030204" pitchFamily="18" charset="0"/>
                      <a:ea typeface="Cambria Math" panose="02040503050406030204" pitchFamily="18" charset="0"/>
                    </a:rPr>
                    <m:t>=</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861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200" b="0" i="1">
                                  <a:latin typeface="Cambria Math" panose="02040503050406030204" pitchFamily="18" charset="0"/>
                                  <a:ea typeface="Cambria Math" panose="02040503050406030204" pitchFamily="18" charset="0"/>
                                </a:rPr>
                              </m:ctrlPr>
                            </m:fPr>
                            <m:num>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𝑡</m:t>
                                  </m:r>
                                </m:e>
                                <m:sub>
                                  <m:r>
                                    <a:rPr lang="en-US" sz="1200" b="0" i="1">
                                      <a:latin typeface="Cambria Math" panose="02040503050406030204" pitchFamily="18" charset="0"/>
                                      <a:ea typeface="Cambria Math" panose="02040503050406030204" pitchFamily="18" charset="0"/>
                                    </a:rPr>
                                    <m:t>1</m:t>
                                  </m:r>
                                </m:sub>
                              </m:sSub>
                            </m:num>
                            <m:den>
                              <m:r>
                                <a:rPr lang="en-US" sz="1200" b="0" i="1">
                                  <a:latin typeface="Cambria Math" panose="02040503050406030204" pitchFamily="18" charset="0"/>
                                  <a:ea typeface="Cambria Math" panose="02040503050406030204" pitchFamily="18" charset="0"/>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200" b="0" i="1">
                                  <a:solidFill>
                                    <a:schemeClr val="tx1"/>
                                  </a:solidFill>
                                  <a:effectLst/>
                                  <a:latin typeface="Cambria Math" panose="02040503050406030204" pitchFamily="18" charset="0"/>
                                  <a:ea typeface="Cambria Math" panose="02040503050406030204" pitchFamily="18" charset="0"/>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18ED53E9-2B75-4FDA-8E79-84074C47D4A7}"/>
                </a:ext>
              </a:extLst>
            </xdr:cNvPr>
            <xdr:cNvSpPr txBox="1"/>
          </xdr:nvSpPr>
          <xdr:spPr>
            <a:xfrm flipH="1">
              <a:off x="10187155140" y="150828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en-US" sz="1200" b="0" i="0">
                  <a:latin typeface="Cambria Math" panose="02040503050406030204" pitchFamily="18" charset="0"/>
                  <a:ea typeface="Cambria Math" panose="02040503050406030204" pitchFamily="18" charset="0"/>
                </a:rPr>
                <a:t>(20,000 −200)=19,800</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b="0" i="0">
                  <a:latin typeface="Cambria Math" panose="02040503050406030204" pitchFamily="18" charset="0"/>
                  <a:ea typeface="Cambria Math" panose="02040503050406030204" pitchFamily="18" charset="0"/>
                </a:rPr>
                <a:t>=861/(1+𝐼𝑅𝑅)^(𝑡_1/365)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𝑡_3</a:t>
              </a:r>
              <a:r>
                <a:rPr lang="en-US" sz="1200" b="0" i="0">
                  <a:solidFill>
                    <a:schemeClr val="tx1"/>
                  </a:solidFill>
                  <a:effectLst/>
                  <a:latin typeface="Cambria Math" panose="02040503050406030204" pitchFamily="18" charset="0"/>
                  <a:ea typeface="Cambria Math" panose="02040503050406030204" pitchFamily="18" charset="0"/>
                  <a:cs typeface="+mn-cs"/>
                </a:rPr>
                <a:t>/365)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12</xdr:row>
      <xdr:rowOff>130333</xdr:rowOff>
    </xdr:from>
    <xdr:ext cx="5742337" cy="35016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9BC166B-4970-456F-B5C2-8B7DCD04D488}"/>
                </a:ext>
              </a:extLst>
            </xdr:cNvPr>
            <xdr:cNvSpPr txBox="1"/>
          </xdr:nvSpPr>
          <xdr:spPr>
            <a:xfrm flipH="1">
              <a:off x="10187459940" y="418798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300,000 −3,000</m:t>
                      </m:r>
                    </m:e>
                  </m:d>
                  <m:r>
                    <a:rPr lang="en-US" sz="1200" b="0" i="1">
                      <a:latin typeface="Cambria Math" panose="02040503050406030204" pitchFamily="18" charset="0"/>
                      <a:ea typeface="Cambria Math" panose="02040503050406030204" pitchFamily="18" charset="0"/>
                    </a:rPr>
                    <m:t>=297</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6241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(300,000 −3,000)=297</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=6241/(1+𝐼𝑅𝑅)^(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18</xdr:row>
      <xdr:rowOff>130333</xdr:rowOff>
    </xdr:from>
    <xdr:ext cx="5742337" cy="352789"/>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08A478B-5197-461F-9581-5D580D3D893E}"/>
                </a:ext>
              </a:extLst>
            </xdr:cNvPr>
            <xdr:cNvSpPr txBox="1"/>
          </xdr:nvSpPr>
          <xdr:spPr>
            <a:xfrm flipH="1">
              <a:off x="10187459940" y="648033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1,500,000 −2,000</m:t>
                      </m:r>
                    </m:e>
                  </m:d>
                  <m:r>
                    <a:rPr lang="en-US" sz="1200" b="0" i="1">
                      <a:latin typeface="Cambria Math" panose="02040503050406030204" pitchFamily="18" charset="0"/>
                      <a:ea typeface="Cambria Math" panose="02040503050406030204" pitchFamily="18" charset="0"/>
                    </a:rPr>
                    <m:t>=1,498</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5811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5911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(1,500,000 −2,000)=1,498</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=5811/(1+𝐼𝑅𝑅)^(</a:t>
              </a:r>
              <a:r>
                <a:rPr lang="en-US" sz="1100" b="0" i="0">
                  <a:solidFill>
                    <a:schemeClr val="tx1"/>
                  </a:solidFill>
                  <a:effectLst/>
                  <a:latin typeface="Cambria Math" panose="02040503050406030204" pitchFamily="18" charset="0"/>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𝑡_3/365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5911/(1+𝐼𝑅𝑅)^(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170783</xdr:colOff>
      <xdr:row>24</xdr:row>
      <xdr:rowOff>160813</xdr:rowOff>
    </xdr:from>
    <xdr:ext cx="5742337" cy="34291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E35443B-FB44-4946-8EF2-2D9E4AF92A2B}"/>
                </a:ext>
              </a:extLst>
            </xdr:cNvPr>
            <xdr:cNvSpPr txBox="1"/>
          </xdr:nvSpPr>
          <xdr:spPr>
            <a:xfrm flipH="1">
              <a:off x="10187360880" y="8396763"/>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10,000) −115</m:t>
                      </m:r>
                    </m:e>
                  </m:d>
                  <m:r>
                    <a:rPr lang="en-US" sz="1200" b="0" i="1">
                      <a:latin typeface="Cambria Math" panose="02040503050406030204" pitchFamily="18" charset="0"/>
                      <a:ea typeface="Cambria Math" panose="02040503050406030204" pitchFamily="18" charset="0"/>
                    </a:rPr>
                    <m:t>=9</m:t>
                  </m:r>
                  <m:r>
                    <a:rPr lang="en-US" sz="1200" b="0" i="1">
                      <a:solidFill>
                        <a:schemeClr val="tx1"/>
                      </a:solidFill>
                      <a:effectLst/>
                      <a:latin typeface="Cambria Math" panose="02040503050406030204" pitchFamily="18" charset="0"/>
                      <a:ea typeface="Cambria Math" panose="02040503050406030204" pitchFamily="18" charset="0"/>
                      <a:cs typeface="+mn-cs"/>
                    </a:rPr>
                    <m:t>,885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879</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904</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((10,000) −115)=9</a:t>
              </a:r>
              <a:r>
                <a:rPr lang="en-US" sz="1200" b="0" i="0">
                  <a:solidFill>
                    <a:schemeClr val="tx1"/>
                  </a:solidFill>
                  <a:effectLst/>
                  <a:latin typeface="Cambria Math" panose="02040503050406030204" pitchFamily="18" charset="0"/>
                  <a:ea typeface="Cambria Math" panose="02040503050406030204" pitchFamily="18" charset="0"/>
                  <a:cs typeface="+mn-cs"/>
                </a:rPr>
                <a:t>,885 </a:t>
              </a:r>
              <a:r>
                <a:rPr lang="en-US" sz="1200" b="0" i="0">
                  <a:latin typeface="Cambria Math" panose="02040503050406030204" pitchFamily="18" charset="0"/>
                  <a:ea typeface="Cambria Math" panose="02040503050406030204" pitchFamily="18" charset="0"/>
                </a:rPr>
                <a:t>=879/(1+𝐼𝑅𝑅)^(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904/(1+𝐼𝑅𝑅)^(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sheetPr>
  <dimension ref="A1:Q39"/>
  <sheetViews>
    <sheetView showGridLines="0" rightToLeft="1" showWhiteSpace="0" topLeftCell="A13" zoomScale="131" zoomScaleNormal="220" workbookViewId="0">
      <selection activeCell="D8" sqref="D8"/>
    </sheetView>
  </sheetViews>
  <sheetFormatPr defaultColWidth="0" defaultRowHeight="13.2" zeroHeight="1" x14ac:dyDescent="0.25"/>
  <cols>
    <col min="1" max="1" width="2.44140625" style="36" customWidth="1"/>
    <col min="2" max="2" width="9" style="36" customWidth="1"/>
    <col min="3" max="3" width="20.44140625" style="34" customWidth="1"/>
    <col min="4" max="4" width="79.44140625" style="36" customWidth="1"/>
    <col min="5" max="5" width="8.88671875" style="36" customWidth="1"/>
    <col min="6" max="6" width="3.5546875" style="36" customWidth="1"/>
    <col min="7" max="17" width="0" style="36" hidden="1" customWidth="1"/>
    <col min="18" max="16384" width="8.88671875" style="36" hidden="1"/>
  </cols>
  <sheetData>
    <row r="1" spans="2:12" ht="13.8" thickBot="1" x14ac:dyDescent="0.3"/>
    <row r="2" spans="2:12" ht="13.8" thickBot="1" x14ac:dyDescent="0.3">
      <c r="B2" s="39"/>
      <c r="C2" s="40"/>
      <c r="D2" s="41"/>
      <c r="E2" s="42"/>
    </row>
    <row r="3" spans="2:12" ht="13.8" thickBot="1" x14ac:dyDescent="0.3">
      <c r="B3" s="43"/>
      <c r="C3" s="201" t="s">
        <v>1</v>
      </c>
      <c r="D3" s="202"/>
      <c r="E3" s="44"/>
    </row>
    <row r="4" spans="2:12" x14ac:dyDescent="0.25">
      <c r="B4" s="43"/>
      <c r="C4" s="46"/>
      <c r="D4" s="46"/>
      <c r="E4" s="44"/>
      <c r="K4" s="82"/>
      <c r="L4" s="82"/>
    </row>
    <row r="5" spans="2:12" x14ac:dyDescent="0.25">
      <c r="B5" s="43"/>
      <c r="C5" s="45"/>
      <c r="D5" s="46"/>
      <c r="E5" s="44"/>
    </row>
    <row r="6" spans="2:12" x14ac:dyDescent="0.25">
      <c r="B6" s="43"/>
      <c r="C6" s="200" t="s">
        <v>2</v>
      </c>
      <c r="D6" s="200"/>
      <c r="E6" s="44"/>
    </row>
    <row r="7" spans="2:12" x14ac:dyDescent="0.25">
      <c r="B7" s="43"/>
      <c r="C7" s="37" t="s">
        <v>3</v>
      </c>
      <c r="D7" s="38" t="s">
        <v>4</v>
      </c>
      <c r="E7" s="44"/>
    </row>
    <row r="8" spans="2:12" ht="26.4" x14ac:dyDescent="0.25">
      <c r="B8" s="43"/>
      <c r="C8" s="130" t="s">
        <v>35</v>
      </c>
      <c r="D8" s="83" t="s">
        <v>140</v>
      </c>
      <c r="E8" s="44"/>
    </row>
    <row r="9" spans="2:12" ht="26.4" x14ac:dyDescent="0.25">
      <c r="B9" s="43"/>
      <c r="C9" s="130" t="s">
        <v>78</v>
      </c>
      <c r="D9" s="83" t="s">
        <v>76</v>
      </c>
      <c r="E9" s="44"/>
    </row>
    <row r="10" spans="2:12" x14ac:dyDescent="0.25">
      <c r="B10" s="43"/>
      <c r="C10" s="130" t="s">
        <v>65</v>
      </c>
      <c r="D10" s="83" t="s">
        <v>75</v>
      </c>
      <c r="E10" s="44"/>
    </row>
    <row r="11" spans="2:12" x14ac:dyDescent="0.25">
      <c r="B11" s="43"/>
      <c r="C11" s="85" t="s">
        <v>118</v>
      </c>
      <c r="D11" s="83" t="s">
        <v>119</v>
      </c>
      <c r="E11" s="44"/>
    </row>
    <row r="12" spans="2:12" x14ac:dyDescent="0.25">
      <c r="B12" s="43"/>
      <c r="C12" s="85" t="s">
        <v>37</v>
      </c>
      <c r="D12" s="83" t="s">
        <v>77</v>
      </c>
      <c r="E12" s="44"/>
    </row>
    <row r="13" spans="2:12" x14ac:dyDescent="0.25">
      <c r="B13" s="43"/>
      <c r="C13" s="85" t="s">
        <v>120</v>
      </c>
      <c r="D13" s="83" t="s">
        <v>121</v>
      </c>
      <c r="E13" s="44"/>
    </row>
    <row r="14" spans="2:12" x14ac:dyDescent="0.25">
      <c r="B14" s="43"/>
      <c r="C14" s="85" t="s">
        <v>36</v>
      </c>
      <c r="D14" s="83" t="s">
        <v>122</v>
      </c>
      <c r="E14" s="44"/>
    </row>
    <row r="15" spans="2:12" x14ac:dyDescent="0.25">
      <c r="B15" s="43"/>
      <c r="C15" s="85" t="s">
        <v>79</v>
      </c>
      <c r="D15" s="83" t="s">
        <v>80</v>
      </c>
      <c r="E15" s="44"/>
    </row>
    <row r="16" spans="2:12" x14ac:dyDescent="0.25">
      <c r="B16" s="43"/>
      <c r="C16" s="130" t="s">
        <v>81</v>
      </c>
      <c r="D16" s="83" t="s">
        <v>123</v>
      </c>
      <c r="E16" s="44"/>
    </row>
    <row r="17" spans="2:5" ht="26.4" x14ac:dyDescent="0.25">
      <c r="B17" s="43"/>
      <c r="C17" s="130" t="s">
        <v>82</v>
      </c>
      <c r="D17" s="83" t="s">
        <v>124</v>
      </c>
      <c r="E17" s="44"/>
    </row>
    <row r="18" spans="2:5" ht="39.6" x14ac:dyDescent="0.25">
      <c r="B18" s="43"/>
      <c r="C18" s="130" t="s">
        <v>9</v>
      </c>
      <c r="D18" s="84" t="s">
        <v>74</v>
      </c>
      <c r="E18" s="44"/>
    </row>
    <row r="19" spans="2:5" ht="26.4" x14ac:dyDescent="0.25">
      <c r="B19" s="43"/>
      <c r="C19" s="130" t="s">
        <v>10</v>
      </c>
      <c r="D19" s="137" t="s">
        <v>133</v>
      </c>
      <c r="E19" s="44"/>
    </row>
    <row r="20" spans="2:5" ht="26.4" x14ac:dyDescent="0.25">
      <c r="B20" s="43"/>
      <c r="C20" s="85" t="s">
        <v>7</v>
      </c>
      <c r="D20" s="84" t="s">
        <v>91</v>
      </c>
      <c r="E20" s="44"/>
    </row>
    <row r="21" spans="2:5" x14ac:dyDescent="0.25">
      <c r="B21" s="43"/>
      <c r="C21" s="85" t="s">
        <v>6</v>
      </c>
      <c r="D21" s="84" t="s">
        <v>92</v>
      </c>
      <c r="E21" s="44"/>
    </row>
    <row r="22" spans="2:5" x14ac:dyDescent="0.25">
      <c r="B22" s="43"/>
      <c r="C22" s="85" t="s">
        <v>5</v>
      </c>
      <c r="D22" s="84" t="s">
        <v>60</v>
      </c>
      <c r="E22" s="44"/>
    </row>
    <row r="23" spans="2:5" ht="26.4" x14ac:dyDescent="0.25">
      <c r="B23" s="43"/>
      <c r="C23" s="85" t="s">
        <v>8</v>
      </c>
      <c r="D23" s="83" t="s">
        <v>61</v>
      </c>
      <c r="E23" s="44"/>
    </row>
    <row r="24" spans="2:5" ht="13.8" thickBot="1" x14ac:dyDescent="0.3">
      <c r="B24" s="47"/>
      <c r="C24" s="48"/>
      <c r="D24" s="48"/>
      <c r="E24" s="49"/>
    </row>
    <row r="25" spans="2:5" x14ac:dyDescent="0.25">
      <c r="C25" s="35"/>
      <c r="D25" s="35"/>
    </row>
    <row r="26" spans="2:5" hidden="1" x14ac:dyDescent="0.25">
      <c r="C26" s="35"/>
      <c r="D26" s="35"/>
    </row>
    <row r="27" spans="2:5" hidden="1" x14ac:dyDescent="0.25">
      <c r="C27" s="35"/>
      <c r="D27" s="35"/>
    </row>
    <row r="28" spans="2:5" hidden="1" x14ac:dyDescent="0.25">
      <c r="C28" s="35"/>
      <c r="D28" s="35"/>
    </row>
    <row r="29" spans="2:5" hidden="1" x14ac:dyDescent="0.25">
      <c r="C29" s="35"/>
      <c r="D29" s="35"/>
    </row>
    <row r="30" spans="2:5" hidden="1" x14ac:dyDescent="0.25">
      <c r="C30" s="35"/>
      <c r="D30" s="35"/>
    </row>
    <row r="31" spans="2:5" hidden="1" x14ac:dyDescent="0.25">
      <c r="C31" s="35"/>
    </row>
    <row r="32" spans="2:5" hidden="1" x14ac:dyDescent="0.25">
      <c r="C32" s="35"/>
    </row>
    <row r="33" spans="3:3" hidden="1" x14ac:dyDescent="0.25">
      <c r="C33" s="35"/>
    </row>
    <row r="34" spans="3:3" hidden="1" x14ac:dyDescent="0.25">
      <c r="C34" s="35"/>
    </row>
    <row r="35" spans="3:3" x14ac:dyDescent="0.25"/>
    <row r="36" spans="3:3" x14ac:dyDescent="0.25"/>
    <row r="37" spans="3:3" x14ac:dyDescent="0.25"/>
    <row r="38" spans="3:3" x14ac:dyDescent="0.25"/>
    <row r="39" spans="3:3" x14ac:dyDescent="0.25"/>
  </sheetData>
  <sheetProtection algorithmName="SHA-512" hashValue="AEpmDwrg/SJDJkfnH6L+IBsEoZaR3ecglo78aTGmboPRv3z/DHOCBPEmquisyXQu2+MMifcEWFvbMRK4A+/EKg==" saltValue="YfYzzY7UCCHZ0NtduPQHJg==" spinCount="100000" sheet="1" objects="1" scenarios="1"/>
  <mergeCells count="2">
    <mergeCell ref="C6:D6"/>
    <mergeCell ref="C3:D3"/>
  </mergeCells>
  <pageMargins left="0.7" right="0.7" top="0.75" bottom="0.75" header="0.3" footer="0.3"/>
  <pageSetup orientation="portrait" r:id="rId1"/>
  <headerFooter>
    <oddHeader>&amp;C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EE4CE"/>
  </sheetPr>
  <dimension ref="A2:S30"/>
  <sheetViews>
    <sheetView showGridLines="0" rightToLeft="1" topLeftCell="A3" zoomScaleNormal="100" zoomScalePageLayoutView="89" workbookViewId="0">
      <selection activeCell="B15" sqref="B15"/>
    </sheetView>
  </sheetViews>
  <sheetFormatPr defaultColWidth="0" defaultRowHeight="14.1" customHeight="1" x14ac:dyDescent="0.2"/>
  <cols>
    <col min="1" max="1" width="2.5546875" style="1" customWidth="1"/>
    <col min="2" max="2" width="6.44140625" style="1" customWidth="1"/>
    <col min="3" max="3" width="4.44140625" style="1" customWidth="1"/>
    <col min="4" max="4" width="27.109375" style="1" bestFit="1" customWidth="1"/>
    <col min="5" max="5" width="16.44140625" style="1" customWidth="1"/>
    <col min="6" max="6" width="12.44140625" style="1" customWidth="1"/>
    <col min="7" max="7" width="25.109375" style="1" bestFit="1" customWidth="1"/>
    <col min="8" max="9" width="21.88671875" style="1" customWidth="1"/>
    <col min="10" max="10" width="18.44140625" style="1" customWidth="1"/>
    <col min="11" max="11" width="16.44140625" style="1" customWidth="1"/>
    <col min="12" max="12" width="9.109375" style="30" hidden="1" customWidth="1"/>
    <col min="13" max="13" width="23.44140625" style="30" customWidth="1"/>
    <col min="14" max="14" width="3.5546875" style="1" customWidth="1"/>
    <col min="15" max="16" width="4" style="1" customWidth="1"/>
    <col min="17" max="17" width="0" style="1" hidden="1" customWidth="1"/>
    <col min="18" max="16384" width="8.88671875" style="1" hidden="1"/>
  </cols>
  <sheetData>
    <row r="2" spans="2:19" ht="14.1" customHeight="1" x14ac:dyDescent="0.2">
      <c r="B2" s="61" t="s">
        <v>47</v>
      </c>
      <c r="J2" s="61" t="s">
        <v>110</v>
      </c>
      <c r="L2" s="1"/>
    </row>
    <row r="3" spans="2:19" ht="18" customHeight="1" x14ac:dyDescent="0.2">
      <c r="B3" s="214" t="s">
        <v>147</v>
      </c>
      <c r="C3" s="214"/>
      <c r="D3" s="214"/>
      <c r="E3" s="214"/>
      <c r="F3" s="214"/>
      <c r="G3" s="214"/>
      <c r="H3" s="214"/>
      <c r="J3" s="112"/>
      <c r="K3" s="205" t="s">
        <v>113</v>
      </c>
      <c r="L3" s="205"/>
      <c r="M3" s="205"/>
      <c r="N3" s="205"/>
    </row>
    <row r="4" spans="2:19" ht="18" customHeight="1" x14ac:dyDescent="0.2">
      <c r="B4" s="214"/>
      <c r="C4" s="214"/>
      <c r="D4" s="214"/>
      <c r="E4" s="214"/>
      <c r="F4" s="214"/>
      <c r="G4" s="214"/>
      <c r="H4" s="214"/>
      <c r="J4" s="52"/>
      <c r="K4" s="205" t="s">
        <v>114</v>
      </c>
      <c r="L4" s="205"/>
      <c r="M4" s="205"/>
      <c r="N4" s="205"/>
    </row>
    <row r="5" spans="2:19" ht="18" customHeight="1" x14ac:dyDescent="0.2">
      <c r="B5" s="214"/>
      <c r="C5" s="214"/>
      <c r="D5" s="214"/>
      <c r="E5" s="214"/>
      <c r="F5" s="214"/>
      <c r="G5" s="214"/>
      <c r="H5" s="214"/>
      <c r="J5" s="3"/>
      <c r="K5" s="205" t="s">
        <v>134</v>
      </c>
      <c r="L5" s="205"/>
      <c r="M5" s="205"/>
      <c r="N5" s="205"/>
    </row>
    <row r="6" spans="2:19" ht="18" customHeight="1" x14ac:dyDescent="0.2">
      <c r="B6" s="214"/>
      <c r="C6" s="214"/>
      <c r="D6" s="214"/>
      <c r="E6" s="214"/>
      <c r="F6" s="214"/>
      <c r="G6" s="214"/>
      <c r="H6" s="214"/>
      <c r="J6" s="53"/>
      <c r="K6" s="205" t="s">
        <v>83</v>
      </c>
      <c r="L6" s="205"/>
      <c r="M6" s="205"/>
      <c r="N6" s="205"/>
      <c r="Q6" s="113"/>
      <c r="R6" s="113"/>
      <c r="S6" s="113"/>
    </row>
    <row r="7" spans="2:19" ht="18" customHeight="1" x14ac:dyDescent="0.2">
      <c r="B7" s="214"/>
      <c r="C7" s="214"/>
      <c r="D7" s="214"/>
      <c r="E7" s="214"/>
      <c r="F7" s="214"/>
      <c r="G7" s="214"/>
      <c r="H7" s="214"/>
      <c r="J7" s="54"/>
      <c r="K7" s="205" t="s">
        <v>84</v>
      </c>
      <c r="L7" s="205"/>
      <c r="M7" s="205"/>
      <c r="N7" s="205"/>
    </row>
    <row r="8" spans="2:19" ht="18" customHeight="1" x14ac:dyDescent="0.2">
      <c r="B8" s="214"/>
      <c r="C8" s="214"/>
      <c r="D8" s="214"/>
      <c r="E8" s="214"/>
      <c r="F8" s="214"/>
      <c r="G8" s="214"/>
      <c r="H8" s="214"/>
      <c r="J8" s="55"/>
      <c r="K8" s="205" t="s">
        <v>85</v>
      </c>
      <c r="L8" s="205"/>
      <c r="M8" s="205"/>
      <c r="N8" s="205"/>
    </row>
    <row r="9" spans="2:19" ht="18" customHeight="1" x14ac:dyDescent="0.2">
      <c r="B9" s="214"/>
      <c r="C9" s="214"/>
      <c r="D9" s="214"/>
      <c r="E9" s="214"/>
      <c r="F9" s="214"/>
      <c r="G9" s="214"/>
      <c r="H9" s="214"/>
      <c r="J9" s="60"/>
      <c r="K9" s="205" t="s">
        <v>86</v>
      </c>
      <c r="L9" s="205"/>
      <c r="M9" s="205"/>
      <c r="N9" s="205"/>
    </row>
    <row r="10" spans="2:19" ht="18" customHeight="1" x14ac:dyDescent="0.2">
      <c r="B10" s="214"/>
      <c r="C10" s="214"/>
      <c r="D10" s="214"/>
      <c r="E10" s="214"/>
      <c r="F10" s="214"/>
      <c r="G10" s="214"/>
      <c r="H10" s="214"/>
      <c r="J10" s="56"/>
      <c r="K10" s="205" t="s">
        <v>40</v>
      </c>
      <c r="L10" s="205"/>
      <c r="M10" s="205"/>
      <c r="N10" s="205"/>
    </row>
    <row r="11" spans="2:19" ht="18" customHeight="1" x14ac:dyDescent="0.2">
      <c r="B11" s="214"/>
      <c r="C11" s="214"/>
      <c r="D11" s="214"/>
      <c r="E11" s="214"/>
      <c r="F11" s="214"/>
      <c r="G11" s="214"/>
      <c r="H11" s="214"/>
      <c r="K11" s="141"/>
      <c r="L11" s="141"/>
      <c r="M11" s="142"/>
      <c r="N11" s="141"/>
    </row>
    <row r="12" spans="2:19" ht="8.1" customHeight="1" thickBot="1" x14ac:dyDescent="0.25"/>
    <row r="13" spans="2:19" ht="14.1" customHeight="1" x14ac:dyDescent="0.2">
      <c r="B13" s="18"/>
      <c r="C13" s="19"/>
      <c r="D13" s="19"/>
      <c r="E13" s="19"/>
      <c r="F13" s="19"/>
      <c r="G13" s="19"/>
      <c r="H13" s="19"/>
      <c r="I13" s="19"/>
      <c r="J13" s="19"/>
      <c r="K13" s="19"/>
      <c r="L13" s="31"/>
      <c r="M13" s="31"/>
      <c r="N13" s="20"/>
    </row>
    <row r="14" spans="2:19" ht="14.1" customHeight="1" x14ac:dyDescent="0.2">
      <c r="B14" s="21"/>
      <c r="C14" s="245" t="s">
        <v>53</v>
      </c>
      <c r="D14" s="245"/>
      <c r="E14" s="245"/>
      <c r="F14" s="245"/>
      <c r="G14" s="245"/>
      <c r="H14" s="245"/>
      <c r="I14" s="245"/>
      <c r="J14" s="245"/>
      <c r="K14" s="245"/>
      <c r="L14" s="245"/>
      <c r="M14" s="245"/>
      <c r="N14" s="22"/>
    </row>
    <row r="15" spans="2:19" ht="14.1" customHeight="1" x14ac:dyDescent="0.2">
      <c r="B15" s="21"/>
      <c r="N15" s="22"/>
    </row>
    <row r="16" spans="2:19" ht="40.35" customHeight="1" x14ac:dyDescent="0.2">
      <c r="B16" s="21"/>
      <c r="D16" s="210" t="s">
        <v>11</v>
      </c>
      <c r="E16" s="211"/>
      <c r="F16" s="114"/>
      <c r="G16" s="28" t="s">
        <v>14</v>
      </c>
      <c r="H16" s="28" t="s">
        <v>16</v>
      </c>
      <c r="I16" s="29" t="s">
        <v>87</v>
      </c>
      <c r="J16" s="29" t="s">
        <v>17</v>
      </c>
      <c r="K16" s="114"/>
      <c r="L16" s="28" t="s">
        <v>18</v>
      </c>
      <c r="M16" s="28" t="s">
        <v>18</v>
      </c>
      <c r="N16" s="22"/>
    </row>
    <row r="17" spans="2:15" ht="14.1" customHeight="1" x14ac:dyDescent="0.2">
      <c r="B17" s="21"/>
      <c r="D17" s="10" t="s">
        <v>78</v>
      </c>
      <c r="E17" s="147">
        <v>300000</v>
      </c>
      <c r="G17" s="10" t="s">
        <v>9</v>
      </c>
      <c r="H17" s="151" t="s">
        <v>67</v>
      </c>
      <c r="I17" s="147">
        <v>3000</v>
      </c>
      <c r="J17" s="75">
        <f>IF(H17="سنوي",I17/($E$22/12),IF(H17="شهري",I17/$E$22,I17))</f>
        <v>3000</v>
      </c>
      <c r="L17" s="57">
        <f ca="1">IFERROR('التمويل التأجيري -متوسط التأمين'!F6,"")</f>
        <v>9.4902274012565582E-2</v>
      </c>
      <c r="M17" s="57">
        <f ca="1">+'التمويل التأجيري -متوسط التأمين'!F6</f>
        <v>9.4902274012565582E-2</v>
      </c>
      <c r="N17" s="22"/>
    </row>
    <row r="18" spans="2:15" ht="14.1" customHeight="1" x14ac:dyDescent="0.2">
      <c r="B18" s="21"/>
      <c r="D18" s="10" t="s">
        <v>125</v>
      </c>
      <c r="E18" s="148">
        <v>5.1999999999999998E-2</v>
      </c>
      <c r="G18" s="10" t="s">
        <v>10</v>
      </c>
      <c r="H18" s="151" t="s">
        <v>71</v>
      </c>
      <c r="I18" s="147"/>
      <c r="J18" s="75">
        <f>IF(H18="سنوي",I18/($E$22/12),IF(H18="شهري",I18/$E$22,I18))</f>
        <v>0</v>
      </c>
      <c r="N18" s="22"/>
    </row>
    <row r="19" spans="2:15" ht="14.1" customHeight="1" x14ac:dyDescent="0.2">
      <c r="B19" s="21"/>
      <c r="G19" s="10" t="s">
        <v>48</v>
      </c>
      <c r="H19" s="151" t="s">
        <v>66</v>
      </c>
      <c r="I19" s="147">
        <f>SUM(J25:J29)</f>
        <v>33120</v>
      </c>
      <c r="J19" s="75">
        <f>IF(H19="سنوي",I19/($E$22/12),IF(H19="شهري",I19/$E$22,I19))</f>
        <v>552</v>
      </c>
      <c r="L19" s="115"/>
      <c r="N19" s="22"/>
    </row>
    <row r="20" spans="2:15" ht="14.1" customHeight="1" x14ac:dyDescent="0.2">
      <c r="B20" s="21"/>
      <c r="G20" s="10" t="s">
        <v>8</v>
      </c>
      <c r="H20" s="151" t="s">
        <v>66</v>
      </c>
      <c r="I20" s="147"/>
      <c r="J20" s="75">
        <f>IF(H20="سنوي",I20/($E$22/12),IF(H20="شهري",I20/$E$22,I20))</f>
        <v>0</v>
      </c>
      <c r="L20" s="116"/>
      <c r="N20" s="22"/>
    </row>
    <row r="21" spans="2:15" ht="14.1" customHeight="1" x14ac:dyDescent="0.2">
      <c r="B21" s="21"/>
      <c r="D21" s="208" t="s">
        <v>12</v>
      </c>
      <c r="E21" s="208"/>
      <c r="G21" s="206" t="s">
        <v>88</v>
      </c>
      <c r="H21" s="207"/>
      <c r="I21" s="86">
        <f>SUM(I17:I20)</f>
        <v>36120</v>
      </c>
      <c r="J21" s="119">
        <f>IF(H21="سنوي",I21/($E$22/12),IF(H21="شهري",I21/$E$22,I21))</f>
        <v>36120</v>
      </c>
      <c r="N21" s="22"/>
    </row>
    <row r="22" spans="2:15" ht="14.1" customHeight="1" x14ac:dyDescent="0.2">
      <c r="B22" s="21"/>
      <c r="D22" s="59" t="s">
        <v>13</v>
      </c>
      <c r="E22" s="149">
        <v>60</v>
      </c>
      <c r="N22" s="22"/>
    </row>
    <row r="23" spans="2:15" ht="14.1" customHeight="1" x14ac:dyDescent="0.2">
      <c r="B23" s="21"/>
      <c r="D23" s="59" t="s">
        <v>143</v>
      </c>
      <c r="E23" s="150">
        <v>45292</v>
      </c>
      <c r="G23" s="28" t="s">
        <v>69</v>
      </c>
      <c r="H23" s="147">
        <v>320000</v>
      </c>
      <c r="J23" s="73"/>
      <c r="K23" s="30"/>
      <c r="M23" s="118"/>
      <c r="N23" s="22"/>
    </row>
    <row r="24" spans="2:15" s="90" customFormat="1" ht="22.65" customHeight="1" x14ac:dyDescent="0.2">
      <c r="B24" s="91"/>
      <c r="D24" s="59" t="s">
        <v>15</v>
      </c>
      <c r="E24" s="178">
        <f>IF((ABS(DATEDIF(E23,E25,"m"))+E22)&lt;=ABS(60),(ABS(DATEDIF(E23,E25,"m"))),"تجاوز الحد الأقصى لمدة التمويل")</f>
        <v>0</v>
      </c>
      <c r="G24" s="29" t="s">
        <v>111</v>
      </c>
      <c r="H24" s="29" t="s">
        <v>112</v>
      </c>
      <c r="I24" s="29" t="s">
        <v>116</v>
      </c>
      <c r="J24" s="29" t="s">
        <v>52</v>
      </c>
      <c r="K24" s="29" t="s">
        <v>51</v>
      </c>
      <c r="L24" s="29" t="s">
        <v>46</v>
      </c>
      <c r="M24" s="29" t="s">
        <v>54</v>
      </c>
      <c r="N24" s="94"/>
    </row>
    <row r="25" spans="2:15" ht="11.4" x14ac:dyDescent="0.2">
      <c r="B25" s="21"/>
      <c r="D25" s="59" t="s">
        <v>115</v>
      </c>
      <c r="E25" s="150">
        <v>45316</v>
      </c>
      <c r="G25" s="161">
        <v>1</v>
      </c>
      <c r="H25" s="148">
        <v>0.03</v>
      </c>
      <c r="I25" s="179">
        <v>0.2</v>
      </c>
      <c r="J25" s="56">
        <f>IF(G25&lt;&gt;"",H23*H25*1.15,0)</f>
        <v>11040</v>
      </c>
      <c r="K25" s="56">
        <f>IF(H17="سنوي",I17/($E$22/12),IF(H17="شهري",I17/$E$22,I17))</f>
        <v>3000</v>
      </c>
      <c r="L25" s="56">
        <f>IF(G25="","",IF($H$19="شهري",J25/12,J25))</f>
        <v>920</v>
      </c>
      <c r="M25" s="56">
        <f>IF(G25&lt;&gt;"",AVERAGE($L$25:L29),"")</f>
        <v>552</v>
      </c>
      <c r="N25" s="22"/>
      <c r="O25" s="89"/>
    </row>
    <row r="26" spans="2:15" ht="14.1" customHeight="1" x14ac:dyDescent="0.2">
      <c r="B26" s="21"/>
      <c r="G26" s="161">
        <v>2</v>
      </c>
      <c r="H26" s="148">
        <v>0.03</v>
      </c>
      <c r="I26" s="179">
        <v>0.2</v>
      </c>
      <c r="J26" s="56">
        <f>IF(G26&lt;&gt;"",($H$23-($H$23*I25)*G25)*H26*1.15,0)</f>
        <v>8832</v>
      </c>
      <c r="K26" s="56" t="str">
        <f>IFERROR(IF($G$26="سنوي",12*G43,""),"")</f>
        <v/>
      </c>
      <c r="L26" s="56">
        <f>IF(G26="","",IF($H$19="شهري",J26/12,J26))</f>
        <v>736</v>
      </c>
      <c r="M26" s="56">
        <f>IF(G26&lt;&gt;"",AVERAGE($L$25:L30),"")</f>
        <v>552</v>
      </c>
      <c r="N26" s="22"/>
      <c r="O26" s="89"/>
    </row>
    <row r="27" spans="2:15" ht="14.1" customHeight="1" x14ac:dyDescent="0.2">
      <c r="B27" s="21"/>
      <c r="G27" s="161">
        <v>3</v>
      </c>
      <c r="H27" s="148">
        <v>0.03</v>
      </c>
      <c r="I27" s="179">
        <v>0.2</v>
      </c>
      <c r="J27" s="56">
        <f t="shared" ref="J27:J29" si="0">IF(G27&lt;&gt;"",($H$23-($H$23*I26)*G26)*H27*1.15,0)</f>
        <v>6623.9999999999991</v>
      </c>
      <c r="K27" s="56" t="str">
        <f t="shared" ref="K27:K29" si="1">IFERROR(IF($G$26="سنوي",12*G44,""),"")</f>
        <v/>
      </c>
      <c r="L27" s="56">
        <f>IF(G27="","",IF($H$19="شهري",J27/12,J27))</f>
        <v>551.99999999999989</v>
      </c>
      <c r="M27" s="56">
        <f>IF(G27&lt;&gt;"",AVERAGE($L$25:L31),"")</f>
        <v>552</v>
      </c>
      <c r="N27" s="22"/>
      <c r="O27" s="89"/>
    </row>
    <row r="28" spans="2:15" ht="14.1" customHeight="1" x14ac:dyDescent="0.2">
      <c r="B28" s="21"/>
      <c r="D28" s="208" t="s">
        <v>62</v>
      </c>
      <c r="E28" s="208"/>
      <c r="G28" s="161">
        <v>4</v>
      </c>
      <c r="H28" s="148">
        <v>0.03</v>
      </c>
      <c r="I28" s="179">
        <v>0.2</v>
      </c>
      <c r="J28" s="56">
        <f t="shared" si="0"/>
        <v>4416</v>
      </c>
      <c r="K28" s="56" t="str">
        <f t="shared" si="1"/>
        <v/>
      </c>
      <c r="L28" s="56">
        <f>IF(G28="","",IF($H$19="شهري",J28/12,J28))</f>
        <v>368</v>
      </c>
      <c r="M28" s="56">
        <f>IF(G28&lt;&gt;"",AVERAGE($L$25:L32),"")</f>
        <v>552</v>
      </c>
      <c r="N28" s="22"/>
      <c r="O28" s="89"/>
    </row>
    <row r="29" spans="2:15" ht="14.1" customHeight="1" x14ac:dyDescent="0.2">
      <c r="B29" s="21"/>
      <c r="D29" s="117" t="s">
        <v>63</v>
      </c>
      <c r="E29" s="147">
        <v>50000</v>
      </c>
      <c r="G29" s="161">
        <v>5</v>
      </c>
      <c r="H29" s="148">
        <v>0.03</v>
      </c>
      <c r="I29" s="179">
        <v>0.2</v>
      </c>
      <c r="J29" s="56">
        <f t="shared" si="0"/>
        <v>2208</v>
      </c>
      <c r="K29" s="56" t="str">
        <f t="shared" si="1"/>
        <v/>
      </c>
      <c r="L29" s="56">
        <f>IF(G29="","",IF($H$19="شهري",J29/12,J29))</f>
        <v>184</v>
      </c>
      <c r="M29" s="56">
        <f>IF(G29&lt;&gt;"",AVERAGE($L$25:L33),"")</f>
        <v>552</v>
      </c>
      <c r="N29" s="22"/>
      <c r="O29" s="89"/>
    </row>
    <row r="30" spans="2:15" ht="14.1" customHeight="1" thickBot="1" x14ac:dyDescent="0.25">
      <c r="B30" s="23"/>
      <c r="C30" s="24"/>
      <c r="D30" s="24"/>
      <c r="E30" s="24"/>
      <c r="F30" s="24"/>
      <c r="G30" s="24"/>
      <c r="H30" s="24"/>
      <c r="I30" s="24"/>
      <c r="J30" s="24"/>
      <c r="K30" s="24"/>
      <c r="L30" s="33"/>
      <c r="M30" s="33"/>
      <c r="N30" s="26"/>
    </row>
  </sheetData>
  <mergeCells count="14">
    <mergeCell ref="B3:H11"/>
    <mergeCell ref="K3:N3"/>
    <mergeCell ref="K4:N4"/>
    <mergeCell ref="K5:N5"/>
    <mergeCell ref="K6:N6"/>
    <mergeCell ref="K7:N7"/>
    <mergeCell ref="K8:N8"/>
    <mergeCell ref="K9:N9"/>
    <mergeCell ref="K10:N10"/>
    <mergeCell ref="D21:E21"/>
    <mergeCell ref="G21:H21"/>
    <mergeCell ref="D28:E28"/>
    <mergeCell ref="C14:M14"/>
    <mergeCell ref="D16:E16"/>
  </mergeCells>
  <conditionalFormatting sqref="E25">
    <cfRule type="expression" dxfId="0" priority="3">
      <formula>$E25&lt;$E23</formula>
    </cfRule>
  </conditionalFormatting>
  <dataValidations count="2">
    <dataValidation type="list" allowBlank="1" showInputMessage="1" showErrorMessage="1" sqref="H17:H20" xr:uid="{00000000-0002-0000-0900-000000000000}">
      <formula1>"شهري, سنوي, دفعة مقدمة, القسط (الدفعة) الاول"</formula1>
    </dataValidation>
    <dataValidation type="list" allowBlank="1" showInputMessage="1" showErrorMessage="1" sqref="H21" xr:uid="{00000000-0002-0000-0900-000001000000}">
      <formula1>"Monthly, Annual, Beginning of the loan, End of the loan"</formula1>
    </dataValidation>
  </dataValidations>
  <pageMargins left="0.7" right="0.7" top="0.75" bottom="0.75" header="0.3" footer="0.3"/>
  <pageSetup orientation="portrait" r:id="rId1"/>
  <headerFooter>
    <oddHeader>&amp;C
&amp;G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EE4CE"/>
  </sheetPr>
  <dimension ref="A1:Z86"/>
  <sheetViews>
    <sheetView showGridLines="0" rightToLeft="1" topLeftCell="B1" zoomScaleNormal="100" workbookViewId="0">
      <selection activeCell="B20" sqref="B20"/>
    </sheetView>
  </sheetViews>
  <sheetFormatPr defaultColWidth="8.88671875" defaultRowHeight="11.4" x14ac:dyDescent="0.2"/>
  <cols>
    <col min="1" max="1" width="0" style="1" hidden="1" customWidth="1"/>
    <col min="2" max="7" width="24.44140625" style="1" customWidth="1"/>
    <col min="8" max="8" width="29.109375" style="1" bestFit="1" customWidth="1"/>
    <col min="9" max="14" width="24.44140625" style="1" customWidth="1"/>
    <col min="15" max="15" width="17.44140625" style="1" bestFit="1" customWidth="1"/>
    <col min="16" max="16" width="11" style="1" bestFit="1" customWidth="1"/>
    <col min="17" max="17" width="12" style="1" bestFit="1" customWidth="1"/>
    <col min="18" max="18" width="8.88671875" style="1"/>
    <col min="19" max="19" width="10.44140625" style="1" bestFit="1" customWidth="1"/>
    <col min="20" max="20" width="11.5546875" style="1" bestFit="1" customWidth="1"/>
    <col min="21" max="21" width="10.5546875" style="64" bestFit="1" customWidth="1"/>
    <col min="22" max="23" width="8.88671875" style="1" customWidth="1"/>
    <col min="24" max="16384" width="8.88671875" style="1"/>
  </cols>
  <sheetData>
    <row r="1" spans="2:24" x14ac:dyDescent="0.2">
      <c r="V1" s="198">
        <f>ROW(S17)</f>
        <v>17</v>
      </c>
      <c r="W1" s="198">
        <f>ROW(T17)</f>
        <v>17</v>
      </c>
    </row>
    <row r="2" spans="2:24" ht="17.100000000000001" customHeight="1" x14ac:dyDescent="0.2">
      <c r="B2" s="217" t="s">
        <v>19</v>
      </c>
      <c r="C2" s="217"/>
      <c r="D2" s="217"/>
      <c r="E2" s="217"/>
      <c r="F2" s="217"/>
      <c r="G2" s="217"/>
      <c r="H2" s="217"/>
      <c r="I2" s="217"/>
      <c r="J2" s="217"/>
      <c r="K2" s="217"/>
      <c r="L2" s="217"/>
      <c r="M2" s="217"/>
      <c r="N2" s="217"/>
      <c r="O2" s="217"/>
      <c r="V2" s="198">
        <f>COLUMN(S17)</f>
        <v>19</v>
      </c>
      <c r="W2" s="198">
        <f>COLUMN(T17)</f>
        <v>20</v>
      </c>
    </row>
    <row r="3" spans="2:24" x14ac:dyDescent="0.2">
      <c r="V3" s="198"/>
      <c r="W3" s="199">
        <f>COUNTIF(S17:S81,"&gt;0")-1</f>
        <v>60</v>
      </c>
    </row>
    <row r="4" spans="2:24" x14ac:dyDescent="0.2">
      <c r="B4" s="215" t="s">
        <v>20</v>
      </c>
      <c r="C4" s="215"/>
      <c r="D4" s="215"/>
      <c r="E4" s="215"/>
      <c r="F4" s="215"/>
    </row>
    <row r="6" spans="2:24" x14ac:dyDescent="0.2">
      <c r="B6" s="3" t="s">
        <v>13</v>
      </c>
      <c r="C6" s="163">
        <f>'مدخلات (متوسط التأمين)'!E22</f>
        <v>60</v>
      </c>
      <c r="E6" s="17" t="s">
        <v>18</v>
      </c>
      <c r="F6" s="14">
        <f ca="1">XIRR(T17:INDIRECT(ADDRESS($W$1+$W$3,$W$2)),S17:INDIRECT(ADDRESS($V$1+$W$3,$V$2)))</f>
        <v>9.4902274012565582E-2</v>
      </c>
    </row>
    <row r="7" spans="2:24" x14ac:dyDescent="0.2">
      <c r="C7" s="164"/>
    </row>
    <row r="8" spans="2:24" x14ac:dyDescent="0.2">
      <c r="B8" s="3" t="s">
        <v>23</v>
      </c>
      <c r="C8" s="165">
        <f>'مدخلات (متوسط التأمين)'!E17</f>
        <v>300000</v>
      </c>
    </row>
    <row r="9" spans="2:24" x14ac:dyDescent="0.2">
      <c r="B9" s="3" t="s">
        <v>126</v>
      </c>
      <c r="C9" s="165">
        <f>-SUM(E18:E82)</f>
        <v>47444.993100996333</v>
      </c>
      <c r="D9" s="8"/>
      <c r="T9" s="101"/>
      <c r="X9" s="15"/>
    </row>
    <row r="10" spans="2:24" x14ac:dyDescent="0.2">
      <c r="B10" s="3" t="s">
        <v>24</v>
      </c>
      <c r="C10" s="165">
        <f>SUM($N$17:$N$82)</f>
        <v>36120</v>
      </c>
      <c r="F10" s="98"/>
      <c r="X10" s="7"/>
    </row>
    <row r="11" spans="2:24" x14ac:dyDescent="0.2">
      <c r="B11" s="3" t="s">
        <v>25</v>
      </c>
      <c r="C11" s="166">
        <f>EDATE('مدخلات (متوسط التأمين)'!E25,C6)</f>
        <v>47143</v>
      </c>
      <c r="X11" s="8"/>
    </row>
    <row r="12" spans="2:24" x14ac:dyDescent="0.2">
      <c r="C12" s="164"/>
    </row>
    <row r="13" spans="2:24" x14ac:dyDescent="0.2">
      <c r="B13" s="3" t="s">
        <v>72</v>
      </c>
      <c r="C13" s="171">
        <f>'مدخلات (متوسط التأمين)'!E29</f>
        <v>50000</v>
      </c>
      <c r="H13" s="64"/>
      <c r="I13" s="2"/>
      <c r="P13" s="15"/>
    </row>
    <row r="14" spans="2:24" x14ac:dyDescent="0.2">
      <c r="F14" s="12"/>
      <c r="H14" s="64"/>
      <c r="P14" s="7"/>
      <c r="Q14" s="8"/>
      <c r="R14" s="8"/>
    </row>
    <row r="15" spans="2:24" x14ac:dyDescent="0.2">
      <c r="H15" s="246"/>
      <c r="I15" s="246"/>
      <c r="N15" s="12"/>
      <c r="S15" s="216" t="s">
        <v>28</v>
      </c>
      <c r="T15" s="216"/>
    </row>
    <row r="16" spans="2:24" x14ac:dyDescent="0.2">
      <c r="B16" s="13" t="s">
        <v>21</v>
      </c>
      <c r="C16" s="13" t="s">
        <v>22</v>
      </c>
      <c r="D16" s="13" t="s">
        <v>78</v>
      </c>
      <c r="E16" s="13" t="s">
        <v>128</v>
      </c>
      <c r="F16" s="13" t="s">
        <v>37</v>
      </c>
      <c r="G16" s="13" t="s">
        <v>120</v>
      </c>
      <c r="H16" s="13" t="s">
        <v>95</v>
      </c>
      <c r="I16" s="13" t="s">
        <v>79</v>
      </c>
      <c r="J16" s="13" t="s">
        <v>9</v>
      </c>
      <c r="K16" s="13" t="s">
        <v>10</v>
      </c>
      <c r="L16" s="13" t="s">
        <v>29</v>
      </c>
      <c r="M16" s="13" t="s">
        <v>8</v>
      </c>
      <c r="N16" s="13" t="s">
        <v>81</v>
      </c>
      <c r="O16" s="13" t="s">
        <v>82</v>
      </c>
      <c r="S16" s="13" t="s">
        <v>26</v>
      </c>
      <c r="T16" s="13" t="s">
        <v>27</v>
      </c>
    </row>
    <row r="17" spans="1:24" x14ac:dyDescent="0.2">
      <c r="B17" s="16">
        <v>0</v>
      </c>
      <c r="C17" s="9">
        <f>'مدخلات (متوسط التأمين)'!E23</f>
        <v>45292</v>
      </c>
      <c r="D17" s="6">
        <v>0</v>
      </c>
      <c r="E17" s="6">
        <v>0</v>
      </c>
      <c r="F17" s="6">
        <v>0</v>
      </c>
      <c r="G17" s="6">
        <v>0</v>
      </c>
      <c r="H17" s="6">
        <v>0</v>
      </c>
      <c r="I17" s="6">
        <v>0</v>
      </c>
      <c r="J17" s="6">
        <f>IF(AND('مدخلات (متوسط التأمين)'!$H$17="دفعة مقدمة",B17=0),'مدخلات (متوسط التأمين)'!$I$17,"")</f>
        <v>3000</v>
      </c>
      <c r="K17" s="6" t="str">
        <f>IF(AND('مدخلات (متوسط التأمين)'!$H$18="دفعة مقدمة",B17=0),'مدخلات (متوسط التأمين)'!$J$18,"")</f>
        <v/>
      </c>
      <c r="L17" s="6" t="str">
        <f>IF(AND('مدخلات (متوسط التأمين)'!$H$19="دفعة مقدمة",B17=0),'مدخلات (متوسط التأمين)'!$I$19,"")</f>
        <v/>
      </c>
      <c r="M17" s="6" t="str">
        <f>IF(AND('مدخلات (متوسط التأمين)'!$H$20="دفعة مقدمة",B17=0),'مدخلات (متوسط التأمين)'!$J$20,"")</f>
        <v/>
      </c>
      <c r="N17" s="6">
        <f t="shared" ref="N17:N48" si="0">IF(B17&lt;&gt;"",SUM(J17:M17),"")</f>
        <v>3000</v>
      </c>
      <c r="O17" s="6">
        <f>IF(B17&lt;&gt;"",SUM(J17:M17)+H17,"")</f>
        <v>3000</v>
      </c>
      <c r="S17" s="9">
        <f>C17</f>
        <v>45292</v>
      </c>
      <c r="T17" s="5">
        <f>-(C8-O17)</f>
        <v>-297000</v>
      </c>
      <c r="V17" s="96"/>
      <c r="W17" s="95"/>
      <c r="X17" s="8"/>
    </row>
    <row r="18" spans="1:24" x14ac:dyDescent="0.2">
      <c r="A18" s="1">
        <f>IF(B18&lt;&gt;"",1,"")</f>
        <v>1</v>
      </c>
      <c r="B18" s="16">
        <v>1</v>
      </c>
      <c r="C18" s="9">
        <f>'مدخلات (متوسط التأمين)'!E25</f>
        <v>45316</v>
      </c>
      <c r="D18" s="6">
        <f>IFERROR(PPMT('مدخلات (متوسط التأمين)'!$E$18/12,B18,$C$6,'مدخلات (متوسط التأمين)'!$E$17,-$C$13,0)," ")</f>
        <v>-3657.4165516832722</v>
      </c>
      <c r="E18" s="6">
        <f>IFERROR(IPMT('مدخلات (متوسط التأمين)'!$E$18/12,B18,$C$6,'مدخلات (متوسط التأمين)'!$E$17,-$C$13,0)," ")</f>
        <v>-1300</v>
      </c>
      <c r="F18" s="6">
        <f>D18</f>
        <v>-3657.4165516832722</v>
      </c>
      <c r="G18" s="6">
        <f>E18</f>
        <v>-1300</v>
      </c>
      <c r="H18" s="6">
        <f>+IF(B18=$C$6,-$C$13+(IFERROR(D18+E18,"")),IFERROR(D18+E18,""))</f>
        <v>-4957.4165516832727</v>
      </c>
      <c r="I18" s="6">
        <f>+IFERROR($C$8+F18,"")</f>
        <v>296342.58344831673</v>
      </c>
      <c r="J18" s="6" t="str">
        <f>IF(B18&lt;&gt;"",IF(AND('مدخلات (متوسط التأمين)'!$H$17="سنوي",MOD(B18,12)=0),'مدخلات (متوسط التأمين)'!$J$17,IF(AND('مدخلات (متوسط التأمين)'!$H$17="القسط (الدفعة) الاول",B18=1),'مدخلات (متوسط التأمين)'!$J$17,IF('مدخلات (متوسط التأمين)'!$H$17="شهري",'مدخلات (متوسط التأمين)'!$J$17,""))),"")</f>
        <v/>
      </c>
      <c r="K18" s="6" t="str">
        <f>IF(B18&lt;&gt;"",IF(AND('مدخلات (متوسط التأمين)'!$H$18="سنوي",MOD(B18,12)=0),'مدخلات (متوسط التأمين)'!$J$18,IF(AND('مدخلات (متوسط التأمين)'!$H$18="القسط (الدفعة) الاول",B18=1),'مدخلات (متوسط التأمين)'!$J$18,IF('مدخلات (متوسط التأمين)'!$H$18="شهري",'مدخلات (متوسط التأمين)'!$J$18,""))),"")</f>
        <v/>
      </c>
      <c r="L18" s="6">
        <f>IF(B18&lt;=$C$6,(IF(B18&lt;&gt;"",IF(AND('مدخلات (متوسط التأمين)'!$H$19="سنوي",MOD(B18,12)=0),'مدخلات (متوسط التأمين)'!$J$19,IF(AND('مدخلات (متوسط التأمين)'!$H$19="القسط (الدفعة) الاول",B18=1),'مدخلات (متوسط التأمين)'!$J$19,IF('مدخلات (متوسط التأمين)'!$H$19="شهري",'مدخلات (متوسط التأمين)'!$J$19,""))),""))," ")</f>
        <v>552</v>
      </c>
      <c r="M18" s="6">
        <f>IF(B18&lt;&gt;"",IF(AND('مدخلات (متوسط التأمين)'!$H$20="سنوي",MOD(B18,12)=0),'مدخلات (متوسط التأمين)'!$J$20,IF(AND('مدخلات (متوسط التأمين)'!$H$20="القسط (الدفعة) الاول",B18=1),'مدخلات (متوسط التأمين)'!$J$20,IF('مدخلات (متوسط التأمين)'!$H$20="شهري",'مدخلات (متوسط التأمين)'!$J$20,IF(AND('مدخلات (متوسط التأمين)'!$H$20="End of the loan",B18='مدخلات (متوسط التأمين)'!$E$22),'مدخلات (متوسط التأمين)'!$J$20,"")))),"")</f>
        <v>0</v>
      </c>
      <c r="N18" s="6">
        <f>IF(B18&lt;=$C$6,SUM(J18:M18),"")</f>
        <v>552</v>
      </c>
      <c r="O18" s="4">
        <f t="shared" ref="O18:O77" si="1">IF(B18&lt;&gt;"",(-H18+N18),"")</f>
        <v>5509.4165516832727</v>
      </c>
      <c r="S18" s="9">
        <f t="shared" ref="S18:S77" si="2">C18</f>
        <v>45316</v>
      </c>
      <c r="T18" s="5">
        <f>IFERROR(ROUND((_xlfn.IFNA(VLOOKUP(S18,$C$18:$O$82,13,0),0)),2)," ")</f>
        <v>5509.42</v>
      </c>
      <c r="V18" s="97"/>
      <c r="W18" s="89"/>
    </row>
    <row r="19" spans="1:24" x14ac:dyDescent="0.2">
      <c r="A19" s="1">
        <f t="shared" ref="A19:A29" si="3">IF(B19&lt;&gt;"",1,"")</f>
        <v>1</v>
      </c>
      <c r="B19" s="16">
        <f>IF(B18="","",IF((B18+1)&lt;=$C$6,B18+1,""))</f>
        <v>2</v>
      </c>
      <c r="C19" s="9">
        <f>IF(B19="","",EDATE($C$18,(B19-1)))</f>
        <v>45347</v>
      </c>
      <c r="D19" s="6">
        <f>IFERROR(PPMT('مدخلات (متوسط التأمين)'!$E$18/12,B19,$C$6,'مدخلات (متوسط التأمين)'!$E$17,-$C$13,0)," ")</f>
        <v>-3673.2653567405659</v>
      </c>
      <c r="E19" s="6">
        <f>IFERROR(IPMT('مدخلات (متوسط التأمين)'!$E$18/12,B19,$C$6,'مدخلات (متوسط التأمين)'!$E$17,-$C$13,0)," ")</f>
        <v>-1284.1511949427056</v>
      </c>
      <c r="F19" s="6">
        <f>IF(B19&lt;=$C$6,F18+D19,"")</f>
        <v>-7330.6819084238377</v>
      </c>
      <c r="G19" s="6">
        <f>IF(B19&lt;=$C$6,G18+E19,"")</f>
        <v>-2584.1511949427058</v>
      </c>
      <c r="H19" s="6">
        <f t="shared" ref="H19:H77" si="4">+IF(B19=$C$6,-$C$13+(IFERROR(D19+E19,"")),IFERROR(D19+E19,""))</f>
        <v>-4957.4165516832718</v>
      </c>
      <c r="I19" s="6">
        <f t="shared" ref="I19:I77" si="5">+IFERROR($C$8+F19,"")</f>
        <v>292669.31809157616</v>
      </c>
      <c r="J19" s="6" t="str">
        <f>IF(B19&lt;&gt;"",IF(AND('مدخلات (متوسط التأمين)'!$H$17="سنوي",MOD(B19,12)=0),'مدخلات (متوسط التأمين)'!$J$17,IF(AND('مدخلات (متوسط التأمين)'!$H$17="القسط (الدفعة) الاول",B19=1),'مدخلات (متوسط التأمين)'!$J$17,IF('مدخلات (متوسط التأمين)'!$H$17="شهري",'مدخلات (متوسط التأمين)'!$J$17,""))),"")</f>
        <v/>
      </c>
      <c r="K19" s="6" t="str">
        <f>IF(B19&lt;&gt;"",IF(AND('مدخلات (متوسط التأمين)'!$H$18="سنوي",MOD(B19,12)=0),'مدخلات (متوسط التأمين)'!$J$18,IF(AND('مدخلات (متوسط التأمين)'!$H$18="القسط (الدفعة) الاول",B19=1),'مدخلات (متوسط التأمين)'!$J$18,IF('مدخلات (متوسط التأمين)'!$H$18="شهري",'مدخلات (متوسط التأمين)'!$J$18,""))),"")</f>
        <v/>
      </c>
      <c r="L19" s="6">
        <f>IF(B19&lt;=$C$6,(IF(B19&lt;&gt;"",IF(AND('مدخلات (متوسط التأمين)'!$H$19="سنوي",MOD(B19,12)=0),'مدخلات (متوسط التأمين)'!$J$19,IF(AND('مدخلات (متوسط التأمين)'!$H$19="القسط (الدفعة) الاول",B19=1),'مدخلات (متوسط التأمين)'!$J$19,IF('مدخلات (متوسط التأمين)'!$H$19="شهري",'مدخلات (متوسط التأمين)'!$J$19,""))),""))," ")</f>
        <v>552</v>
      </c>
      <c r="M19" s="6">
        <f>IF(B19&lt;&gt;"",IF(AND('مدخلات (متوسط التأمين)'!$H$20="سنوي",MOD(B19,12)=0),'مدخلات (متوسط التأمين)'!$J$20,IF(AND('مدخلات (متوسط التأمين)'!$H$20="القسط (الدفعة) الاول",B19=1),'مدخلات (متوسط التأمين)'!$J$20,IF('مدخلات (متوسط التأمين)'!$H$20="شهري",'مدخلات (متوسط التأمين)'!$J$20,IF(AND('مدخلات (متوسط التأمين)'!$H$20="End of the loan",B19='مدخلات (متوسط التأمين)'!$E$22),'مدخلات (متوسط التأمين)'!$J$20,"")))),"")</f>
        <v>0</v>
      </c>
      <c r="N19" s="6">
        <f t="shared" si="0"/>
        <v>552</v>
      </c>
      <c r="O19" s="4">
        <f t="shared" si="1"/>
        <v>5509.4165516832718</v>
      </c>
      <c r="S19" s="9">
        <f t="shared" si="2"/>
        <v>45347</v>
      </c>
      <c r="T19" s="5">
        <f t="shared" ref="T19:T77" si="6">IFERROR(ROUND((_xlfn.IFNA(VLOOKUP(S19,$C$18:$O$82,13,0),0)),2)," ")</f>
        <v>5509.42</v>
      </c>
      <c r="V19" s="97"/>
      <c r="W19" s="89"/>
    </row>
    <row r="20" spans="1:24" x14ac:dyDescent="0.2">
      <c r="A20" s="1">
        <f t="shared" si="3"/>
        <v>1</v>
      </c>
      <c r="B20" s="16">
        <f t="shared" ref="B20:B77" si="7">IF(B19="","",IF((B19+1)&lt;=$C$6,B19+1,""))</f>
        <v>3</v>
      </c>
      <c r="C20" s="9">
        <f t="shared" ref="C20:C77" si="8">IF(B20="","",EDATE($C$18,(B20-1)))</f>
        <v>45376</v>
      </c>
      <c r="D20" s="6">
        <f>IFERROR(PPMT('مدخلات (متوسط التأمين)'!$E$18/12,B20,$C$6,'مدخلات (متوسط التأمين)'!$E$17,-$C$13,0)," ")</f>
        <v>-3689.1828399531087</v>
      </c>
      <c r="E20" s="6">
        <f>IFERROR(IPMT('مدخلات (متوسط التأمين)'!$E$18/12,B20,$C$6,'مدخلات (متوسط التأمين)'!$E$17,-$C$13,0),"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IF(B20&lt;&gt;"",IF(AND('مدخلات (متوسط التأمين)'!$H$17="سنوي",MOD(B20,12)=0),'مدخلات (متوسط التأمين)'!$J$17,IF(AND('مدخلات (متوسط التأمين)'!$H$17="القسط (الدفعة) الاول",B20=1),'مدخلات (متوسط التأمين)'!$J$17,IF('مدخلات (متوسط التأمين)'!$H$17="شهري",'مدخلات (متوسط التأمين)'!$J$17,""))),"")</f>
        <v/>
      </c>
      <c r="K20" s="6" t="str">
        <f>IF(B20&lt;&gt;"",IF(AND('مدخلات (متوسط التأمين)'!$H$18="سنوي",MOD(B20,12)=0),'مدخلات (متوسط التأمين)'!$J$18,IF(AND('مدخلات (متوسط التأمين)'!$H$18="القسط (الدفعة) الاول",B20=1),'مدخلات (متوسط التأمين)'!$J$18,IF('مدخلات (متوسط التأمين)'!$H$18="شهري",'مدخلات (متوسط التأمين)'!$J$18,""))),"")</f>
        <v/>
      </c>
      <c r="L20" s="6">
        <f>IF(B20&lt;=$C$6,(IF(B20&lt;&gt;"",IF(AND('مدخلات (متوسط التأمين)'!$H$19="سنوي",MOD(B20,12)=0),'مدخلات (متوسط التأمين)'!$J$19,IF(AND('مدخلات (متوسط التأمين)'!$H$19="القسط (الدفعة) الاول",B20=1),'مدخلات (متوسط التأمين)'!$J$19,IF('مدخلات (متوسط التأمين)'!$H$19="شهري",'مدخلات (متوسط التأمين)'!$J$19,""))),""))," ")</f>
        <v>552</v>
      </c>
      <c r="M20" s="6">
        <f>IF(B20&lt;&gt;"",IF(AND('مدخلات (متوسط التأمين)'!$H$20="سنوي",MOD(B20,12)=0),'مدخلات (متوسط التأمين)'!$J$20,IF(AND('مدخلات (متوسط التأمين)'!$H$20="القسط (الدفعة) الاول",B20=1),'مدخلات (متوسط التأمين)'!$J$20,IF('مدخلات (متوسط التأمين)'!$H$20="شهري",'مدخلات (متوسط التأمين)'!$J$20,IF(AND('مدخلات (متوسط التأمين)'!$H$20="End of the loan",B20='مدخلات (متوسط التأمين)'!$E$22),'مدخلات (متوسط التأمين)'!$J$20,"")))),"")</f>
        <v>0</v>
      </c>
      <c r="N20" s="6">
        <f t="shared" si="0"/>
        <v>552</v>
      </c>
      <c r="O20" s="4">
        <f t="shared" si="1"/>
        <v>5509.4165516832718</v>
      </c>
      <c r="S20" s="9">
        <f t="shared" si="2"/>
        <v>45376</v>
      </c>
      <c r="T20" s="5">
        <f t="shared" si="6"/>
        <v>5509.42</v>
      </c>
      <c r="V20" s="97"/>
      <c r="W20" s="89"/>
    </row>
    <row r="21" spans="1:24" x14ac:dyDescent="0.2">
      <c r="A21" s="1">
        <f t="shared" si="3"/>
        <v>1</v>
      </c>
      <c r="B21" s="16">
        <f t="shared" si="7"/>
        <v>4</v>
      </c>
      <c r="C21" s="9">
        <f t="shared" si="8"/>
        <v>45407</v>
      </c>
      <c r="D21" s="6">
        <f>IFERROR(PPMT('مدخلات (متوسط التأمين)'!$E$18/12,B21,$C$6,'مدخلات (متوسط التأمين)'!$E$17,-$C$13,0)," ")</f>
        <v>-3705.1692989262383</v>
      </c>
      <c r="E21" s="6">
        <f>IFERROR(IPMT('مدخلات (متوسط التأمين)'!$E$18/12,B21,$C$6,'مدخلات (متوسط التأمين)'!$E$17,-$C$13,0)," ")</f>
        <v>-1252.247252757033</v>
      </c>
      <c r="F21" s="6">
        <f t="shared" si="9"/>
        <v>-14725.034047303183</v>
      </c>
      <c r="G21" s="6">
        <f t="shared" si="10"/>
        <v>-5104.6321594299025</v>
      </c>
      <c r="H21" s="6">
        <f t="shared" si="4"/>
        <v>-4957.4165516832709</v>
      </c>
      <c r="I21" s="6">
        <f t="shared" si="5"/>
        <v>285274.9659526968</v>
      </c>
      <c r="J21" s="6" t="str">
        <f>IF(B21&lt;&gt;"",IF(AND('مدخلات (متوسط التأمين)'!$H$17="سنوي",MOD(B21,12)=0),'مدخلات (متوسط التأمين)'!$J$17,IF(AND('مدخلات (متوسط التأمين)'!$H$17="القسط (الدفعة) الاول",B21=1),'مدخلات (متوسط التأمين)'!$J$17,IF('مدخلات (متوسط التأمين)'!$H$17="شهري",'مدخلات (متوسط التأمين)'!$J$17,""))),"")</f>
        <v/>
      </c>
      <c r="K21" s="6" t="str">
        <f>IF(B21&lt;&gt;"",IF(AND('مدخلات (متوسط التأمين)'!$H$18="سنوي",MOD(B21,12)=0),'مدخلات (متوسط التأمين)'!$J$18,IF(AND('مدخلات (متوسط التأمين)'!$H$18="القسط (الدفعة) الاول",B21=1),'مدخلات (متوسط التأمين)'!$J$18,IF('مدخلات (متوسط التأمين)'!$H$18="شهري",'مدخلات (متوسط التأمين)'!$J$18,""))),"")</f>
        <v/>
      </c>
      <c r="L21" s="6">
        <f>IF(B21&lt;=$C$6,(IF(B21&lt;&gt;"",IF(AND('مدخلات (متوسط التأمين)'!$H$19="سنوي",MOD(B21,12)=0),'مدخلات (متوسط التأمين)'!$J$19,IF(AND('مدخلات (متوسط التأمين)'!$H$19="القسط (الدفعة) الاول",B21=1),'مدخلات (متوسط التأمين)'!$J$19,IF('مدخلات (متوسط التأمين)'!$H$19="شهري",'مدخلات (متوسط التأمين)'!$J$19,""))),""))," ")</f>
        <v>552</v>
      </c>
      <c r="M21" s="6">
        <f>IF(B21&lt;&gt;"",IF(AND('مدخلات (متوسط التأمين)'!$H$20="سنوي",MOD(B21,12)=0),'مدخلات (متوسط التأمين)'!$J$20,IF(AND('مدخلات (متوسط التأمين)'!$H$20="القسط (الدفعة) الاول",B21=1),'مدخلات (متوسط التأمين)'!$J$20,IF('مدخلات (متوسط التأمين)'!$H$20="شهري",'مدخلات (متوسط التأمين)'!$J$20,IF(AND('مدخلات (متوسط التأمين)'!$H$20="End of the loan",B21='مدخلات (متوسط التأمين)'!$E$22),'مدخلات (متوسط التأمين)'!$J$20,"")))),"")</f>
        <v>0</v>
      </c>
      <c r="N21" s="6">
        <f t="shared" si="0"/>
        <v>552</v>
      </c>
      <c r="O21" s="4">
        <f t="shared" si="1"/>
        <v>5509.4165516832709</v>
      </c>
      <c r="S21" s="9">
        <f t="shared" si="2"/>
        <v>45407</v>
      </c>
      <c r="T21" s="5">
        <f t="shared" si="6"/>
        <v>5509.42</v>
      </c>
      <c r="V21" s="97"/>
      <c r="W21" s="89"/>
    </row>
    <row r="22" spans="1:24" x14ac:dyDescent="0.2">
      <c r="A22" s="1">
        <f t="shared" si="3"/>
        <v>1</v>
      </c>
      <c r="B22" s="16">
        <f t="shared" si="7"/>
        <v>5</v>
      </c>
      <c r="C22" s="9">
        <f t="shared" si="8"/>
        <v>45437</v>
      </c>
      <c r="D22" s="6">
        <f>IFERROR(PPMT('مدخلات (متوسط التأمين)'!$E$18/12,B22,$C$6,'مدخلات (متوسط التأمين)'!$E$17,-$C$13,0)," ")</f>
        <v>-3721.2250325549194</v>
      </c>
      <c r="E22" s="6">
        <f>IFERROR(IPMT('مدخلات (متوسط التأمين)'!$E$18/12,B22,$C$6,'مدخلات (متوسط التأمين)'!$E$17,-$C$13,0)," ")</f>
        <v>-1236.1915191283524</v>
      </c>
      <c r="F22" s="6">
        <f t="shared" si="9"/>
        <v>-18446.2590798581</v>
      </c>
      <c r="G22" s="6">
        <f t="shared" si="10"/>
        <v>-6340.8236785582549</v>
      </c>
      <c r="H22" s="6">
        <f t="shared" si="4"/>
        <v>-4957.4165516832718</v>
      </c>
      <c r="I22" s="6">
        <f t="shared" si="5"/>
        <v>281553.74092014192</v>
      </c>
      <c r="J22" s="6" t="str">
        <f>IF(B22&lt;&gt;"",IF(AND('مدخلات (متوسط التأمين)'!$H$17="سنوي",MOD(B22,12)=0),'مدخلات (متوسط التأمين)'!$J$17,IF(AND('مدخلات (متوسط التأمين)'!$H$17="القسط (الدفعة) الاول",B22=1),'مدخلات (متوسط التأمين)'!$J$17,IF('مدخلات (متوسط التأمين)'!$H$17="شهري",'مدخلات (متوسط التأمين)'!$J$17,""))),"")</f>
        <v/>
      </c>
      <c r="K22" s="6" t="str">
        <f>IF(B22&lt;&gt;"",IF(AND('مدخلات (متوسط التأمين)'!$H$18="سنوي",MOD(B22,12)=0),'مدخلات (متوسط التأمين)'!$J$18,IF(AND('مدخلات (متوسط التأمين)'!$H$18="القسط (الدفعة) الاول",B22=1),'مدخلات (متوسط التأمين)'!$J$18,IF('مدخلات (متوسط التأمين)'!$H$18="شهري",'مدخلات (متوسط التأمين)'!$J$18,""))),"")</f>
        <v/>
      </c>
      <c r="L22" s="6">
        <f>IF(B22&lt;=$C$6,(IF(B22&lt;&gt;"",IF(AND('مدخلات (متوسط التأمين)'!$H$19="سنوي",MOD(B22,12)=0),'مدخلات (متوسط التأمين)'!$J$19,IF(AND('مدخلات (متوسط التأمين)'!$H$19="القسط (الدفعة) الاول",B22=1),'مدخلات (متوسط التأمين)'!$J$19,IF('مدخلات (متوسط التأمين)'!$H$19="شهري",'مدخلات (متوسط التأمين)'!$J$19,""))),""))," ")</f>
        <v>552</v>
      </c>
      <c r="M22" s="6">
        <f>IF(B22&lt;&gt;"",IF(AND('مدخلات (متوسط التأمين)'!$H$20="سنوي",MOD(B22,12)=0),'مدخلات (متوسط التأمين)'!$J$20,IF(AND('مدخلات (متوسط التأمين)'!$H$20="القسط (الدفعة) الاول",B22=1),'مدخلات (متوسط التأمين)'!$J$20,IF('مدخلات (متوسط التأمين)'!$H$20="شهري",'مدخلات (متوسط التأمين)'!$J$20,IF(AND('مدخلات (متوسط التأمين)'!$H$20="End of the loan",B22='مدخلات (متوسط التأمين)'!$E$22),'مدخلات (متوسط التأمين)'!$J$20,"")))),"")</f>
        <v>0</v>
      </c>
      <c r="N22" s="6">
        <f t="shared" si="0"/>
        <v>552</v>
      </c>
      <c r="O22" s="4">
        <f t="shared" si="1"/>
        <v>5509.4165516832718</v>
      </c>
      <c r="S22" s="9">
        <f t="shared" si="2"/>
        <v>45437</v>
      </c>
      <c r="T22" s="5">
        <f t="shared" si="6"/>
        <v>5509.42</v>
      </c>
      <c r="V22" s="97"/>
      <c r="W22" s="89"/>
    </row>
    <row r="23" spans="1:24" x14ac:dyDescent="0.2">
      <c r="A23" s="1">
        <f t="shared" si="3"/>
        <v>1</v>
      </c>
      <c r="B23" s="16">
        <f t="shared" si="7"/>
        <v>6</v>
      </c>
      <c r="C23" s="9">
        <f t="shared" si="8"/>
        <v>45468</v>
      </c>
      <c r="D23" s="6">
        <f>IFERROR(PPMT('مدخلات (متوسط التأمين)'!$E$18/12,B23,$C$6,'مدخلات (متوسط التأمين)'!$E$17,-$C$13,0)," ")</f>
        <v>-3737.3503410293233</v>
      </c>
      <c r="E23" s="6">
        <f>IFERROR(IPMT('مدخلات (متوسط التأمين)'!$E$18/12,B23,$C$6,'مدخلات (متوسط التأمين)'!$E$17,-$C$13,0)," ")</f>
        <v>-1220.066210653948</v>
      </c>
      <c r="F23" s="6">
        <f t="shared" si="9"/>
        <v>-22183.609420887424</v>
      </c>
      <c r="G23" s="6">
        <f t="shared" si="10"/>
        <v>-7560.8898892122033</v>
      </c>
      <c r="H23" s="6">
        <f t="shared" si="4"/>
        <v>-4957.4165516832709</v>
      </c>
      <c r="I23" s="6">
        <f t="shared" si="5"/>
        <v>277816.39057911257</v>
      </c>
      <c r="J23" s="6" t="str">
        <f>IF(B23&lt;&gt;"",IF(AND('مدخلات (متوسط التأمين)'!$H$17="سنوي",MOD(B23,12)=0),'مدخلات (متوسط التأمين)'!$J$17,IF(AND('مدخلات (متوسط التأمين)'!$H$17="القسط (الدفعة) الاول",B23=1),'مدخلات (متوسط التأمين)'!$J$17,IF('مدخلات (متوسط التأمين)'!$H$17="شهري",'مدخلات (متوسط التأمين)'!$J$17,""))),"")</f>
        <v/>
      </c>
      <c r="K23" s="6" t="str">
        <f>IF(B23&lt;&gt;"",IF(AND('مدخلات (متوسط التأمين)'!$H$18="سنوي",MOD(B23,12)=0),'مدخلات (متوسط التأمين)'!$J$18,IF(AND('مدخلات (متوسط التأمين)'!$H$18="القسط (الدفعة) الاول",B23=1),'مدخلات (متوسط التأمين)'!$J$18,IF('مدخلات (متوسط التأمين)'!$H$18="شهري",'مدخلات (متوسط التأمين)'!$J$18,""))),"")</f>
        <v/>
      </c>
      <c r="L23" s="6">
        <f>IF(B23&lt;=$C$6,(IF(B23&lt;&gt;"",IF(AND('مدخلات (متوسط التأمين)'!$H$19="سنوي",MOD(B23,12)=0),'مدخلات (متوسط التأمين)'!$J$19,IF(AND('مدخلات (متوسط التأمين)'!$H$19="القسط (الدفعة) الاول",B23=1),'مدخلات (متوسط التأمين)'!$J$19,IF('مدخلات (متوسط التأمين)'!$H$19="شهري",'مدخلات (متوسط التأمين)'!$J$19,""))),""))," ")</f>
        <v>552</v>
      </c>
      <c r="M23" s="6">
        <f>IF(B23&lt;&gt;"",IF(AND('مدخلات (متوسط التأمين)'!$H$20="سنوي",MOD(B23,12)=0),'مدخلات (متوسط التأمين)'!$J$20,IF(AND('مدخلات (متوسط التأمين)'!$H$20="القسط (الدفعة) الاول",B23=1),'مدخلات (متوسط التأمين)'!$J$20,IF('مدخلات (متوسط التأمين)'!$H$20="شهري",'مدخلات (متوسط التأمين)'!$J$20,IF(AND('مدخلات (متوسط التأمين)'!$H$20="End of the loan",B23='مدخلات (متوسط التأمين)'!$E$22),'مدخلات (متوسط التأمين)'!$J$20,"")))),"")</f>
        <v>0</v>
      </c>
      <c r="N23" s="6">
        <f t="shared" si="0"/>
        <v>552</v>
      </c>
      <c r="O23" s="4">
        <f t="shared" si="1"/>
        <v>5509.4165516832709</v>
      </c>
      <c r="S23" s="9">
        <f t="shared" si="2"/>
        <v>45468</v>
      </c>
      <c r="T23" s="5">
        <f t="shared" si="6"/>
        <v>5509.42</v>
      </c>
      <c r="V23" s="97"/>
      <c r="W23" s="89"/>
    </row>
    <row r="24" spans="1:24" x14ac:dyDescent="0.2">
      <c r="A24" s="1">
        <f t="shared" si="3"/>
        <v>1</v>
      </c>
      <c r="B24" s="16">
        <f t="shared" si="7"/>
        <v>7</v>
      </c>
      <c r="C24" s="9">
        <f t="shared" si="8"/>
        <v>45498</v>
      </c>
      <c r="D24" s="6">
        <f>IFERROR(PPMT('مدخلات (متوسط التأمين)'!$E$18/12,B24,$C$6,'مدخلات (متوسط التأمين)'!$E$17,-$C$13,0)," ")</f>
        <v>-3753.5455258404513</v>
      </c>
      <c r="E24" s="6">
        <f>IFERROR(IPMT('مدخلات (متوسط التأمين)'!$E$18/12,B24,$C$6,'مدخلات (متوسط التأمين)'!$E$17,-$C$13,0)," ")</f>
        <v>-1203.8710258428212</v>
      </c>
      <c r="F24" s="6">
        <f t="shared" si="9"/>
        <v>-25937.154946727875</v>
      </c>
      <c r="G24" s="6">
        <f t="shared" si="10"/>
        <v>-8764.7609150550252</v>
      </c>
      <c r="H24" s="6">
        <f t="shared" si="4"/>
        <v>-4957.4165516832727</v>
      </c>
      <c r="I24" s="6">
        <f t="shared" si="5"/>
        <v>274062.84505327215</v>
      </c>
      <c r="J24" s="6" t="str">
        <f>IF(B24&lt;&gt;"",IF(AND('مدخلات (متوسط التأمين)'!$H$17="سنوي",MOD(B24,12)=0),'مدخلات (متوسط التأمين)'!$J$17,IF(AND('مدخلات (متوسط التأمين)'!$H$17="القسط (الدفعة) الاول",B24=1),'مدخلات (متوسط التأمين)'!$J$17,IF('مدخلات (متوسط التأمين)'!$H$17="شهري",'مدخلات (متوسط التأمين)'!$J$17,""))),"")</f>
        <v/>
      </c>
      <c r="K24" s="6" t="str">
        <f>IF(B24&lt;&gt;"",IF(AND('مدخلات (متوسط التأمين)'!$H$18="سنوي",MOD(B24,12)=0),'مدخلات (متوسط التأمين)'!$J$18,IF(AND('مدخلات (متوسط التأمين)'!$H$18="القسط (الدفعة) الاول",B24=1),'مدخلات (متوسط التأمين)'!$J$18,IF('مدخلات (متوسط التأمين)'!$H$18="شهري",'مدخلات (متوسط التأمين)'!$J$18,""))),"")</f>
        <v/>
      </c>
      <c r="L24" s="6">
        <f>IF(B24&lt;=$C$6,(IF(B24&lt;&gt;"",IF(AND('مدخلات (متوسط التأمين)'!$H$19="سنوي",MOD(B24,12)=0),'مدخلات (متوسط التأمين)'!$J$19,IF(AND('مدخلات (متوسط التأمين)'!$H$19="القسط (الدفعة) الاول",B24=1),'مدخلات (متوسط التأمين)'!$J$19,IF('مدخلات (متوسط التأمين)'!$H$19="شهري",'مدخلات (متوسط التأمين)'!$J$19,""))),""))," ")</f>
        <v>552</v>
      </c>
      <c r="M24" s="6">
        <f>IF(B24&lt;&gt;"",IF(AND('مدخلات (متوسط التأمين)'!$H$20="سنوي",MOD(B24,12)=0),'مدخلات (متوسط التأمين)'!$J$20,IF(AND('مدخلات (متوسط التأمين)'!$H$20="القسط (الدفعة) الاول",B24=1),'مدخلات (متوسط التأمين)'!$J$20,IF('مدخلات (متوسط التأمين)'!$H$20="شهري",'مدخلات (متوسط التأمين)'!$J$20,IF(AND('مدخلات (متوسط التأمين)'!$H$20="End of the loan",B24='مدخلات (متوسط التأمين)'!$E$22),'مدخلات (متوسط التأمين)'!$J$20,"")))),"")</f>
        <v>0</v>
      </c>
      <c r="N24" s="6">
        <f t="shared" si="0"/>
        <v>552</v>
      </c>
      <c r="O24" s="4">
        <f t="shared" si="1"/>
        <v>5509.4165516832727</v>
      </c>
      <c r="S24" s="9">
        <f t="shared" si="2"/>
        <v>45498</v>
      </c>
      <c r="T24" s="5">
        <f t="shared" si="6"/>
        <v>5509.42</v>
      </c>
      <c r="V24" s="97"/>
      <c r="W24" s="89"/>
    </row>
    <row r="25" spans="1:24" x14ac:dyDescent="0.2">
      <c r="A25" s="1">
        <f t="shared" si="3"/>
        <v>1</v>
      </c>
      <c r="B25" s="16">
        <f t="shared" si="7"/>
        <v>8</v>
      </c>
      <c r="C25" s="9">
        <f t="shared" si="8"/>
        <v>45529</v>
      </c>
      <c r="D25" s="6">
        <f>IFERROR(PPMT('مدخلات (متوسط التأمين)'!$E$18/12,B25,$C$6,'مدخلات (متوسط التأمين)'!$E$17,-$C$13,0)," ")</f>
        <v>-3769.8108897857596</v>
      </c>
      <c r="E25" s="6">
        <f>IFERROR(IPMT('مدخلات (متوسط التأمين)'!$E$18/12,B25,$C$6,'مدخلات (متوسط التأمين)'!$E$17,-$C$13,0)," ")</f>
        <v>-1187.6056618975124</v>
      </c>
      <c r="F25" s="6">
        <f t="shared" si="9"/>
        <v>-29706.965836513635</v>
      </c>
      <c r="G25" s="6">
        <f t="shared" si="10"/>
        <v>-9952.3665769525378</v>
      </c>
      <c r="H25" s="6">
        <f t="shared" si="4"/>
        <v>-4957.4165516832718</v>
      </c>
      <c r="I25" s="6">
        <f t="shared" si="5"/>
        <v>270293.03416348639</v>
      </c>
      <c r="J25" s="6" t="str">
        <f>IF(B25&lt;&gt;"",IF(AND('مدخلات (متوسط التأمين)'!$H$17="سنوي",MOD(B25,12)=0),'مدخلات (متوسط التأمين)'!$J$17,IF(AND('مدخلات (متوسط التأمين)'!$H$17="القسط (الدفعة) الاول",B25=1),'مدخلات (متوسط التأمين)'!$J$17,IF('مدخلات (متوسط التأمين)'!$H$17="شهري",'مدخلات (متوسط التأمين)'!$J$17,""))),"")</f>
        <v/>
      </c>
      <c r="K25" s="6" t="str">
        <f>IF(B25&lt;&gt;"",IF(AND('مدخلات (متوسط التأمين)'!$H$18="سنوي",MOD(B25,12)=0),'مدخلات (متوسط التأمين)'!$J$18,IF(AND('مدخلات (متوسط التأمين)'!$H$18="القسط (الدفعة) الاول",B25=1),'مدخلات (متوسط التأمين)'!$J$18,IF('مدخلات (متوسط التأمين)'!$H$18="شهري",'مدخلات (متوسط التأمين)'!$J$18,""))),"")</f>
        <v/>
      </c>
      <c r="L25" s="6">
        <f>IF(B25&lt;=$C$6,(IF(B25&lt;&gt;"",IF(AND('مدخلات (متوسط التأمين)'!$H$19="سنوي",MOD(B25,12)=0),'مدخلات (متوسط التأمين)'!$J$19,IF(AND('مدخلات (متوسط التأمين)'!$H$19="القسط (الدفعة) الاول",B25=1),'مدخلات (متوسط التأمين)'!$J$19,IF('مدخلات (متوسط التأمين)'!$H$19="شهري",'مدخلات (متوسط التأمين)'!$J$19,""))),""))," ")</f>
        <v>552</v>
      </c>
      <c r="M25" s="6">
        <f>IF(B25&lt;&gt;"",IF(AND('مدخلات (متوسط التأمين)'!$H$20="سنوي",MOD(B25,12)=0),'مدخلات (متوسط التأمين)'!$J$20,IF(AND('مدخلات (متوسط التأمين)'!$H$20="القسط (الدفعة) الاول",B25=1),'مدخلات (متوسط التأمين)'!$J$20,IF('مدخلات (متوسط التأمين)'!$H$20="شهري",'مدخلات (متوسط التأمين)'!$J$20,IF(AND('مدخلات (متوسط التأمين)'!$H$20="End of the loan",B25='مدخلات (متوسط التأمين)'!$E$22),'مدخلات (متوسط التأمين)'!$J$20,"")))),"")</f>
        <v>0</v>
      </c>
      <c r="N25" s="6">
        <f t="shared" si="0"/>
        <v>552</v>
      </c>
      <c r="O25" s="4">
        <f t="shared" si="1"/>
        <v>5509.4165516832718</v>
      </c>
      <c r="S25" s="9">
        <f t="shared" si="2"/>
        <v>45529</v>
      </c>
      <c r="T25" s="5">
        <f t="shared" si="6"/>
        <v>5509.42</v>
      </c>
      <c r="V25" s="97"/>
      <c r="W25" s="89"/>
    </row>
    <row r="26" spans="1:24" x14ac:dyDescent="0.2">
      <c r="A26" s="1">
        <f t="shared" si="3"/>
        <v>1</v>
      </c>
      <c r="B26" s="16">
        <f t="shared" si="7"/>
        <v>9</v>
      </c>
      <c r="C26" s="9">
        <f t="shared" si="8"/>
        <v>45560</v>
      </c>
      <c r="D26" s="6">
        <f>IFERROR(PPMT('مدخلات (متوسط التأمين)'!$E$18/12,B26,$C$6,'مدخلات (متوسط التأمين)'!$E$17,-$C$13,0)," ")</f>
        <v>-3786.1467369748311</v>
      </c>
      <c r="E26" s="6">
        <f>IFERROR(IPMT('مدخلات (متوسط التأمين)'!$E$18/12,B26,$C$6,'مدخلات (متوسط التأمين)'!$E$17,-$C$13,0)," ")</f>
        <v>-1171.2698147084407</v>
      </c>
      <c r="F26" s="6">
        <f t="shared" si="9"/>
        <v>-33493.112573488463</v>
      </c>
      <c r="G26" s="6">
        <f t="shared" si="10"/>
        <v>-11123.636391660979</v>
      </c>
      <c r="H26" s="6">
        <f t="shared" si="4"/>
        <v>-4957.4165516832718</v>
      </c>
      <c r="I26" s="6">
        <f t="shared" si="5"/>
        <v>266506.88742651156</v>
      </c>
      <c r="J26" s="6" t="str">
        <f>IF(B26&lt;&gt;"",IF(AND('مدخلات (متوسط التأمين)'!$H$17="سنوي",MOD(B26,12)=0),'مدخلات (متوسط التأمين)'!$J$17,IF(AND('مدخلات (متوسط التأمين)'!$H$17="القسط (الدفعة) الاول",B26=1),'مدخلات (متوسط التأمين)'!$J$17,IF('مدخلات (متوسط التأمين)'!$H$17="شهري",'مدخلات (متوسط التأمين)'!$J$17,""))),"")</f>
        <v/>
      </c>
      <c r="K26" s="6" t="str">
        <f>IF(B26&lt;&gt;"",IF(AND('مدخلات (متوسط التأمين)'!$H$18="سنوي",MOD(B26,12)=0),'مدخلات (متوسط التأمين)'!$J$18,IF(AND('مدخلات (متوسط التأمين)'!$H$18="القسط (الدفعة) الاول",B26=1),'مدخلات (متوسط التأمين)'!$J$18,IF('مدخلات (متوسط التأمين)'!$H$18="شهري",'مدخلات (متوسط التأمين)'!$J$18,""))),"")</f>
        <v/>
      </c>
      <c r="L26" s="6">
        <f>IF(B26&lt;=$C$6,(IF(B26&lt;&gt;"",IF(AND('مدخلات (متوسط التأمين)'!$H$19="سنوي",MOD(B26,12)=0),'مدخلات (متوسط التأمين)'!$J$19,IF(AND('مدخلات (متوسط التأمين)'!$H$19="القسط (الدفعة) الاول",B26=1),'مدخلات (متوسط التأمين)'!$J$19,IF('مدخلات (متوسط التأمين)'!$H$19="شهري",'مدخلات (متوسط التأمين)'!$J$19,""))),""))," ")</f>
        <v>552</v>
      </c>
      <c r="M26" s="6">
        <f>IF(B26&lt;&gt;"",IF(AND('مدخلات (متوسط التأمين)'!$H$20="سنوي",MOD(B26,12)=0),'مدخلات (متوسط التأمين)'!$J$20,IF(AND('مدخلات (متوسط التأمين)'!$H$20="القسط (الدفعة) الاول",B26=1),'مدخلات (متوسط التأمين)'!$J$20,IF('مدخلات (متوسط التأمين)'!$H$20="شهري",'مدخلات (متوسط التأمين)'!$J$20,IF(AND('مدخلات (متوسط التأمين)'!$H$20="End of the loan",B26='مدخلات (متوسط التأمين)'!$E$22),'مدخلات (متوسط التأمين)'!$J$20,"")))),"")</f>
        <v>0</v>
      </c>
      <c r="N26" s="6">
        <f t="shared" si="0"/>
        <v>552</v>
      </c>
      <c r="O26" s="4">
        <f t="shared" si="1"/>
        <v>5509.4165516832718</v>
      </c>
      <c r="S26" s="9">
        <f t="shared" si="2"/>
        <v>45560</v>
      </c>
      <c r="T26" s="5">
        <f t="shared" si="6"/>
        <v>5509.42</v>
      </c>
      <c r="V26" s="97"/>
      <c r="W26" s="89"/>
    </row>
    <row r="27" spans="1:24" x14ac:dyDescent="0.2">
      <c r="A27" s="1">
        <f t="shared" si="3"/>
        <v>1</v>
      </c>
      <c r="B27" s="16">
        <f t="shared" si="7"/>
        <v>10</v>
      </c>
      <c r="C27" s="9">
        <f t="shared" si="8"/>
        <v>45590</v>
      </c>
      <c r="D27" s="6">
        <f>IFERROR(PPMT('مدخلات (متوسط التأمين)'!$E$18/12,B27,$C$6,'مدخلات (متوسط التأمين)'!$E$17,-$C$13,0)," ")</f>
        <v>-3802.5533728350551</v>
      </c>
      <c r="E27" s="6">
        <f>IFERROR(IPMT('مدخلات (متوسط التأمين)'!$E$18/12,B27,$C$6,'مدخلات (متوسط التأمين)'!$E$17,-$C$13,0)," ")</f>
        <v>-1154.8631788482164</v>
      </c>
      <c r="F27" s="6">
        <f t="shared" si="9"/>
        <v>-37295.665946323519</v>
      </c>
      <c r="G27" s="6">
        <f t="shared" si="10"/>
        <v>-12278.499570509195</v>
      </c>
      <c r="H27" s="6">
        <f t="shared" si="4"/>
        <v>-4957.4165516832718</v>
      </c>
      <c r="I27" s="6">
        <f t="shared" si="5"/>
        <v>262704.33405367646</v>
      </c>
      <c r="J27" s="6" t="str">
        <f>IF(B27&lt;&gt;"",IF(AND('مدخلات (متوسط التأمين)'!$H$17="سنوي",MOD(B27,12)=0),'مدخلات (متوسط التأمين)'!$J$17,IF(AND('مدخلات (متوسط التأمين)'!$H$17="القسط (الدفعة) الاول",B27=1),'مدخلات (متوسط التأمين)'!$J$17,IF('مدخلات (متوسط التأمين)'!$H$17="شهري",'مدخلات (متوسط التأمين)'!$J$17,""))),"")</f>
        <v/>
      </c>
      <c r="K27" s="6" t="str">
        <f>IF(B27&lt;&gt;"",IF(AND('مدخلات (متوسط التأمين)'!$H$18="سنوي",MOD(B27,12)=0),'مدخلات (متوسط التأمين)'!$J$18,IF(AND('مدخلات (متوسط التأمين)'!$H$18="القسط (الدفعة) الاول",B27=1),'مدخلات (متوسط التأمين)'!$J$18,IF('مدخلات (متوسط التأمين)'!$H$18="شهري",'مدخلات (متوسط التأمين)'!$J$18,""))),"")</f>
        <v/>
      </c>
      <c r="L27" s="6">
        <f>IF(B27&lt;=$C$6,(IF(B27&lt;&gt;"",IF(AND('مدخلات (متوسط التأمين)'!$H$19="سنوي",MOD(B27,12)=0),'مدخلات (متوسط التأمين)'!$J$19,IF(AND('مدخلات (متوسط التأمين)'!$H$19="القسط (الدفعة) الاول",B27=1),'مدخلات (متوسط التأمين)'!$J$19,IF('مدخلات (متوسط التأمين)'!$H$19="شهري",'مدخلات (متوسط التأمين)'!$J$19,""))),""))," ")</f>
        <v>552</v>
      </c>
      <c r="M27" s="6">
        <f>IF(B27&lt;&gt;"",IF(AND('مدخلات (متوسط التأمين)'!$H$20="سنوي",MOD(B27,12)=0),'مدخلات (متوسط التأمين)'!$J$20,IF(AND('مدخلات (متوسط التأمين)'!$H$20="القسط (الدفعة) الاول",B27=1),'مدخلات (متوسط التأمين)'!$J$20,IF('مدخلات (متوسط التأمين)'!$H$20="شهري",'مدخلات (متوسط التأمين)'!$J$20,IF(AND('مدخلات (متوسط التأمين)'!$H$20="End of the loan",B27='مدخلات (متوسط التأمين)'!$E$22),'مدخلات (متوسط التأمين)'!$J$20,"")))),"")</f>
        <v>0</v>
      </c>
      <c r="N27" s="6">
        <f t="shared" si="0"/>
        <v>552</v>
      </c>
      <c r="O27" s="4">
        <f t="shared" si="1"/>
        <v>5509.4165516832718</v>
      </c>
      <c r="S27" s="9">
        <f t="shared" si="2"/>
        <v>45590</v>
      </c>
      <c r="T27" s="5">
        <f t="shared" si="6"/>
        <v>5509.42</v>
      </c>
      <c r="V27" s="97"/>
      <c r="W27" s="89"/>
    </row>
    <row r="28" spans="1:24" x14ac:dyDescent="0.2">
      <c r="A28" s="1">
        <f t="shared" si="3"/>
        <v>1</v>
      </c>
      <c r="B28" s="16">
        <f t="shared" si="7"/>
        <v>11</v>
      </c>
      <c r="C28" s="9">
        <f t="shared" si="8"/>
        <v>45621</v>
      </c>
      <c r="D28" s="6">
        <f>IFERROR(PPMT('مدخلات (متوسط التأمين)'!$E$18/12,B28,$C$6,'مدخلات (متوسط التأمين)'!$E$17,-$C$13,0)," ")</f>
        <v>-3819.0311041173409</v>
      </c>
      <c r="E28" s="6">
        <f>IFERROR(IPMT('مدخلات (متوسط التأمين)'!$E$18/12,B28,$C$6,'مدخلات (متوسط التأمين)'!$E$17,-$C$13,0)," ")</f>
        <v>-1138.3854475659314</v>
      </c>
      <c r="F28" s="6">
        <f t="shared" si="9"/>
        <v>-41114.69705044086</v>
      </c>
      <c r="G28" s="6">
        <f t="shared" si="10"/>
        <v>-13416.885018075127</v>
      </c>
      <c r="H28" s="6">
        <f t="shared" si="4"/>
        <v>-4957.4165516832727</v>
      </c>
      <c r="I28" s="6">
        <f t="shared" si="5"/>
        <v>258885.30294955915</v>
      </c>
      <c r="J28" s="6" t="str">
        <f>IF(B28&lt;&gt;"",IF(AND('مدخلات (متوسط التأمين)'!$H$17="سنوي",MOD(B28,12)=0),'مدخلات (متوسط التأمين)'!$J$17,IF(AND('مدخلات (متوسط التأمين)'!$H$17="القسط (الدفعة) الاول",B28=1),'مدخلات (متوسط التأمين)'!$J$17,IF('مدخلات (متوسط التأمين)'!$H$17="شهري",'مدخلات (متوسط التأمين)'!$J$17,""))),"")</f>
        <v/>
      </c>
      <c r="K28" s="6" t="str">
        <f>IF(B28&lt;&gt;"",IF(AND('مدخلات (متوسط التأمين)'!$H$18="سنوي",MOD(B28,12)=0),'مدخلات (متوسط التأمين)'!$J$18,IF(AND('مدخلات (متوسط التأمين)'!$H$18="القسط (الدفعة) الاول",B28=1),'مدخلات (متوسط التأمين)'!$J$18,IF('مدخلات (متوسط التأمين)'!$H$18="شهري",'مدخلات (متوسط التأمين)'!$J$18,""))),"")</f>
        <v/>
      </c>
      <c r="L28" s="6">
        <f>IF(B28&lt;=$C$6,(IF(B28&lt;&gt;"",IF(AND('مدخلات (متوسط التأمين)'!$H$19="سنوي",MOD(B28,12)=0),'مدخلات (متوسط التأمين)'!$J$19,IF(AND('مدخلات (متوسط التأمين)'!$H$19="القسط (الدفعة) الاول",B28=1),'مدخلات (متوسط التأمين)'!$J$19,IF('مدخلات (متوسط التأمين)'!$H$19="شهري",'مدخلات (متوسط التأمين)'!$J$19,""))),""))," ")</f>
        <v>552</v>
      </c>
      <c r="M28" s="6">
        <f>IF(B28&lt;&gt;"",IF(AND('مدخلات (متوسط التأمين)'!$H$20="سنوي",MOD(B28,12)=0),'مدخلات (متوسط التأمين)'!$J$20,IF(AND('مدخلات (متوسط التأمين)'!$H$20="القسط (الدفعة) الاول",B28=1),'مدخلات (متوسط التأمين)'!$J$20,IF('مدخلات (متوسط التأمين)'!$H$20="شهري",'مدخلات (متوسط التأمين)'!$J$20,IF(AND('مدخلات (متوسط التأمين)'!$H$20="End of the loan",B28='مدخلات (متوسط التأمين)'!$E$22),'مدخلات (متوسط التأمين)'!$J$20,"")))),"")</f>
        <v>0</v>
      </c>
      <c r="N28" s="6">
        <f t="shared" si="0"/>
        <v>552</v>
      </c>
      <c r="O28" s="4">
        <f t="shared" si="1"/>
        <v>5509.4165516832727</v>
      </c>
      <c r="S28" s="9">
        <f t="shared" si="2"/>
        <v>45621</v>
      </c>
      <c r="T28" s="5">
        <f t="shared" si="6"/>
        <v>5509.42</v>
      </c>
      <c r="V28" s="97"/>
      <c r="W28" s="89"/>
    </row>
    <row r="29" spans="1:24" x14ac:dyDescent="0.2">
      <c r="A29" s="1">
        <f t="shared" si="3"/>
        <v>1</v>
      </c>
      <c r="B29" s="16">
        <f t="shared" si="7"/>
        <v>12</v>
      </c>
      <c r="C29" s="9">
        <f t="shared" si="8"/>
        <v>45651</v>
      </c>
      <c r="D29" s="6">
        <f>IFERROR(PPMT('مدخلات (متوسط التأمين)'!$E$18/12,B29,$C$6,'مدخلات (متوسط التأمين)'!$E$17,-$C$13,0)," ")</f>
        <v>-3835.5802389018486</v>
      </c>
      <c r="E29" s="6">
        <f>IFERROR(IPMT('مدخلات (متوسط التأمين)'!$E$18/12,B29,$C$6,'مدخلات (متوسط التأمين)'!$E$17,-$C$13,0)," ")</f>
        <v>-1121.8363127814227</v>
      </c>
      <c r="F29" s="6">
        <f t="shared" si="9"/>
        <v>-44950.27728934271</v>
      </c>
      <c r="G29" s="6">
        <f t="shared" si="10"/>
        <v>-14538.72133085655</v>
      </c>
      <c r="H29" s="6">
        <f t="shared" si="4"/>
        <v>-4957.4165516832709</v>
      </c>
      <c r="I29" s="6">
        <f t="shared" si="5"/>
        <v>255049.72271065728</v>
      </c>
      <c r="J29" s="6" t="str">
        <f>IF(B29&lt;&gt;"",IF(AND('مدخلات (متوسط التأمين)'!$H$17="سنوي",MOD(B29,12)=0),'مدخلات (متوسط التأمين)'!$J$17,IF(AND('مدخلات (متوسط التأمين)'!$H$17="القسط (الدفعة) الاول",B29=1),'مدخلات (متوسط التأمين)'!$J$17,IF('مدخلات (متوسط التأمين)'!$H$17="شهري",'مدخلات (متوسط التأمين)'!$J$17,""))),"")</f>
        <v/>
      </c>
      <c r="K29" s="6">
        <f>IF(B29&lt;&gt;"",IF(AND('مدخلات (متوسط التأمين)'!$H$18="سنوي",MOD(B29,12)=0),'مدخلات (متوسط التأمين)'!$J$18,IF(AND('مدخلات (متوسط التأمين)'!$H$18="القسط (الدفعة) الاول",B29=1),'مدخلات (متوسط التأمين)'!$J$18,IF('مدخلات (متوسط التأمين)'!$H$18="شهري",'مدخلات (متوسط التأمين)'!$J$18,""))),"")</f>
        <v>0</v>
      </c>
      <c r="L29" s="6">
        <f>IF(B29&lt;=$C$6,(IF(B29&lt;&gt;"",IF(AND('مدخلات (متوسط التأمين)'!$H$19="سنوي",MOD(B29,12)=0),'مدخلات (متوسط التأمين)'!$J$19,IF(AND('مدخلات (متوسط التأمين)'!$H$19="القسط (الدفعة) الاول",B29=1),'مدخلات (متوسط التأمين)'!$J$19,IF('مدخلات (متوسط التأمين)'!$H$19="شهري",'مدخلات (متوسط التأمين)'!$J$19,""))),""))," ")</f>
        <v>552</v>
      </c>
      <c r="M29" s="6">
        <f>IF(B29&lt;&gt;"",IF(AND('مدخلات (متوسط التأمين)'!$H$20="سنوي",MOD(B29,12)=0),'مدخلات (متوسط التأمين)'!$J$20,IF(AND('مدخلات (متوسط التأمين)'!$H$20="القسط (الدفعة) الاول",B29=1),'مدخلات (متوسط التأمين)'!$J$20,IF('مدخلات (متوسط التأمين)'!$H$20="شهري",'مدخلات (متوسط التأمين)'!$J$20,IF(AND('مدخلات (متوسط التأمين)'!$H$20="End of the loan",B29='مدخلات (متوسط التأمين)'!$E$22),'مدخلات (متوسط التأمين)'!$J$20,"")))),"")</f>
        <v>0</v>
      </c>
      <c r="N29" s="6">
        <f t="shared" si="0"/>
        <v>552</v>
      </c>
      <c r="O29" s="4">
        <f t="shared" si="1"/>
        <v>5509.4165516832709</v>
      </c>
      <c r="S29" s="9">
        <f t="shared" si="2"/>
        <v>45651</v>
      </c>
      <c r="T29" s="5">
        <f t="shared" si="6"/>
        <v>5509.42</v>
      </c>
      <c r="V29" s="97"/>
      <c r="W29" s="89"/>
    </row>
    <row r="30" spans="1:24" x14ac:dyDescent="0.2">
      <c r="A30" s="1">
        <f>IF(B30&lt;&gt;"",2,"")</f>
        <v>2</v>
      </c>
      <c r="B30" s="16">
        <f t="shared" si="7"/>
        <v>13</v>
      </c>
      <c r="C30" s="9">
        <f t="shared" si="8"/>
        <v>45682</v>
      </c>
      <c r="D30" s="6">
        <f>IFERROR(PPMT('مدخلات (متوسط التأمين)'!$E$18/12,B30,$C$6,'مدخلات (متوسط التأمين)'!$E$17,-$C$13,0)," ")</f>
        <v>-3852.2010866037567</v>
      </c>
      <c r="E30" s="6">
        <f>IFERROR(IPMT('مدخلات (متوسط التأمين)'!$E$18/12,B30,$C$6,'مدخلات (متوسط التأمين)'!$E$17,-$C$13,0)," ")</f>
        <v>-1105.2154650795146</v>
      </c>
      <c r="F30" s="6">
        <f t="shared" si="9"/>
        <v>-48802.47837594647</v>
      </c>
      <c r="G30" s="6">
        <f t="shared" si="10"/>
        <v>-15643.936795936064</v>
      </c>
      <c r="H30" s="6">
        <f t="shared" si="4"/>
        <v>-4957.4165516832709</v>
      </c>
      <c r="I30" s="6">
        <f t="shared" si="5"/>
        <v>251197.52162405354</v>
      </c>
      <c r="J30" s="6" t="str">
        <f>IF(B30&lt;&gt;"",IF(AND('مدخلات (متوسط التأمين)'!$H$17="سنوي",MOD(B30,12)=0),'مدخلات (متوسط التأمين)'!$J$17,IF(AND('مدخلات (متوسط التأمين)'!$H$17="القسط (الدفعة) الاول",B30=1),'مدخلات (متوسط التأمين)'!$J$17,IF('مدخلات (متوسط التأمين)'!$H$17="شهري",'مدخلات (متوسط التأمين)'!$J$17,""))),"")</f>
        <v/>
      </c>
      <c r="K30" s="6" t="str">
        <f>IF(B30&lt;&gt;"",IF(AND('مدخلات (متوسط التأمين)'!$H$18="سنوي",MOD(B30,12)=0),'مدخلات (متوسط التأمين)'!$J$18,IF(AND('مدخلات (متوسط التأمين)'!$H$18="القسط (الدفعة) الاول",B30=1),'مدخلات (متوسط التأمين)'!$J$18,IF('مدخلات (متوسط التأمين)'!$H$18="شهري",'مدخلات (متوسط التأمين)'!$J$18,""))),"")</f>
        <v/>
      </c>
      <c r="L30" s="6">
        <f>IF(B30&lt;=$C$6,(IF(B30&lt;&gt;"",IF(AND('مدخلات (متوسط التأمين)'!$H$19="سنوي",MOD(B30,12)=0),'مدخلات (متوسط التأمين)'!$J$19,IF(AND('مدخلات (متوسط التأمين)'!$H$19="القسط (الدفعة) الاول",B30=1),'مدخلات (متوسط التأمين)'!$J$19,IF('مدخلات (متوسط التأمين)'!$H$19="شهري",'مدخلات (متوسط التأمين)'!$J$19,""))),""))," ")</f>
        <v>552</v>
      </c>
      <c r="M30" s="6">
        <f>IF(B30&lt;&gt;"",IF(AND('مدخلات (متوسط التأمين)'!$H$20="سنوي",MOD(B30,12)=0),'مدخلات (متوسط التأمين)'!$J$20,IF(AND('مدخلات (متوسط التأمين)'!$H$20="القسط (الدفعة) الاول",B30=1),'مدخلات (متوسط التأمين)'!$J$20,IF('مدخلات (متوسط التأمين)'!$H$20="شهري",'مدخلات (متوسط التأمين)'!$J$20,IF(AND('مدخلات (متوسط التأمين)'!$H$20="End of the loan",B30='مدخلات (متوسط التأمين)'!$E$22),'مدخلات (متوسط التأمين)'!$J$20,"")))),"")</f>
        <v>0</v>
      </c>
      <c r="N30" s="6">
        <f t="shared" si="0"/>
        <v>552</v>
      </c>
      <c r="O30" s="4">
        <f t="shared" si="1"/>
        <v>5509.4165516832709</v>
      </c>
      <c r="S30" s="9">
        <f t="shared" si="2"/>
        <v>45682</v>
      </c>
      <c r="T30" s="5">
        <f t="shared" si="6"/>
        <v>5509.42</v>
      </c>
      <c r="V30" s="97"/>
      <c r="W30" s="89"/>
    </row>
    <row r="31" spans="1:24" x14ac:dyDescent="0.2">
      <c r="A31" s="1">
        <f t="shared" ref="A31:A41" si="11">IF(B31&lt;&gt;"",2,"")</f>
        <v>2</v>
      </c>
      <c r="B31" s="16">
        <f t="shared" si="7"/>
        <v>14</v>
      </c>
      <c r="C31" s="9">
        <f t="shared" si="8"/>
        <v>45713</v>
      </c>
      <c r="D31" s="6">
        <f>IFERROR(PPMT('مدخلات (متوسط التأمين)'!$E$18/12,B31,$C$6,'مدخلات (متوسط التأمين)'!$E$17,-$C$13,0)," ")</f>
        <v>-3868.8939579790399</v>
      </c>
      <c r="E31" s="6">
        <f>IFERROR(IPMT('مدخلات (متوسط التأمين)'!$E$18/12,B31,$C$6,'مدخلات (متوسط التأمين)'!$E$17,-$C$13,0)," ")</f>
        <v>-1088.5225937042317</v>
      </c>
      <c r="F31" s="6">
        <f t="shared" si="9"/>
        <v>-52671.372333925508</v>
      </c>
      <c r="G31" s="6">
        <f t="shared" si="10"/>
        <v>-16732.459389640295</v>
      </c>
      <c r="H31" s="6">
        <f t="shared" si="4"/>
        <v>-4957.4165516832718</v>
      </c>
      <c r="I31" s="6">
        <f t="shared" si="5"/>
        <v>247328.62766607449</v>
      </c>
      <c r="J31" s="6" t="str">
        <f>IF(B31&lt;&gt;"",IF(AND('مدخلات (متوسط التأمين)'!$H$17="سنوي",MOD(B31,12)=0),'مدخلات (متوسط التأمين)'!$J$17,IF(AND('مدخلات (متوسط التأمين)'!$H$17="القسط (الدفعة) الاول",B31=1),'مدخلات (متوسط التأمين)'!$J$17,IF('مدخلات (متوسط التأمين)'!$H$17="شهري",'مدخلات (متوسط التأمين)'!$J$17,""))),"")</f>
        <v/>
      </c>
      <c r="K31" s="6" t="str">
        <f>IF(B31&lt;&gt;"",IF(AND('مدخلات (متوسط التأمين)'!$H$18="سنوي",MOD(B31,12)=0),'مدخلات (متوسط التأمين)'!$J$18,IF(AND('مدخلات (متوسط التأمين)'!$H$18="القسط (الدفعة) الاول",B31=1),'مدخلات (متوسط التأمين)'!$J$18,IF('مدخلات (متوسط التأمين)'!$H$18="شهري",'مدخلات (متوسط التأمين)'!$J$18,""))),"")</f>
        <v/>
      </c>
      <c r="L31" s="6">
        <f>IF(B31&lt;=$C$6,(IF(B31&lt;&gt;"",IF(AND('مدخلات (متوسط التأمين)'!$H$19="سنوي",MOD(B31,12)=0),'مدخلات (متوسط التأمين)'!$J$19,IF(AND('مدخلات (متوسط التأمين)'!$H$19="القسط (الدفعة) الاول",B31=1),'مدخلات (متوسط التأمين)'!$J$19,IF('مدخلات (متوسط التأمين)'!$H$19="شهري",'مدخلات (متوسط التأمين)'!$J$19,""))),""))," ")</f>
        <v>552</v>
      </c>
      <c r="M31" s="6">
        <f>IF(B31&lt;&gt;"",IF(AND('مدخلات (متوسط التأمين)'!$H$20="سنوي",MOD(B31,12)=0),'مدخلات (متوسط التأمين)'!$J$20,IF(AND('مدخلات (متوسط التأمين)'!$H$20="القسط (الدفعة) الاول",B31=1),'مدخلات (متوسط التأمين)'!$J$20,IF('مدخلات (متوسط التأمين)'!$H$20="شهري",'مدخلات (متوسط التأمين)'!$J$20,IF(AND('مدخلات (متوسط التأمين)'!$H$20="End of the loan",B31='مدخلات (متوسط التأمين)'!$E$22),'مدخلات (متوسط التأمين)'!$J$20,"")))),"")</f>
        <v>0</v>
      </c>
      <c r="N31" s="6">
        <f t="shared" si="0"/>
        <v>552</v>
      </c>
      <c r="O31" s="4">
        <f t="shared" si="1"/>
        <v>5509.4165516832718</v>
      </c>
      <c r="S31" s="9">
        <f t="shared" si="2"/>
        <v>45713</v>
      </c>
      <c r="T31" s="5">
        <f t="shared" si="6"/>
        <v>5509.42</v>
      </c>
      <c r="V31" s="97"/>
      <c r="W31" s="89"/>
    </row>
    <row r="32" spans="1:24" x14ac:dyDescent="0.2">
      <c r="A32" s="1">
        <f t="shared" si="11"/>
        <v>2</v>
      </c>
      <c r="B32" s="16">
        <f t="shared" si="7"/>
        <v>15</v>
      </c>
      <c r="C32" s="9">
        <f t="shared" si="8"/>
        <v>45741</v>
      </c>
      <c r="D32" s="6">
        <f>IFERROR(PPMT('مدخلات (متوسط التأمين)'!$E$18/12,B32,$C$6,'مدخلات (متوسط التأمين)'!$E$17,-$C$13,0)," ")</f>
        <v>-3885.6591651302824</v>
      </c>
      <c r="E32" s="6">
        <f>IFERROR(IPMT('مدخلات (متوسط التأمين)'!$E$18/12,B32,$C$6,'مدخلات (متوسط التأمين)'!$E$17,-$C$13,0)," ")</f>
        <v>-1071.7573865529894</v>
      </c>
      <c r="F32" s="6">
        <f t="shared" si="9"/>
        <v>-56557.031499055789</v>
      </c>
      <c r="G32" s="6">
        <f t="shared" si="10"/>
        <v>-17804.216776193283</v>
      </c>
      <c r="H32" s="6">
        <f t="shared" si="4"/>
        <v>-4957.4165516832718</v>
      </c>
      <c r="I32" s="6">
        <f t="shared" si="5"/>
        <v>243442.9685009442</v>
      </c>
      <c r="J32" s="6" t="str">
        <f>IF(B32&lt;&gt;"",IF(AND('مدخلات (متوسط التأمين)'!$H$17="سنوي",MOD(B32,12)=0),'مدخلات (متوسط التأمين)'!$J$17,IF(AND('مدخلات (متوسط التأمين)'!$H$17="القسط (الدفعة) الاول",B32=1),'مدخلات (متوسط التأمين)'!$J$17,IF('مدخلات (متوسط التأمين)'!$H$17="شهري",'مدخلات (متوسط التأمين)'!$J$17,""))),"")</f>
        <v/>
      </c>
      <c r="K32" s="6" t="str">
        <f>IF(B32&lt;&gt;"",IF(AND('مدخلات (متوسط التأمين)'!$H$18="سنوي",MOD(B32,12)=0),'مدخلات (متوسط التأمين)'!$J$18,IF(AND('مدخلات (متوسط التأمين)'!$H$18="القسط (الدفعة) الاول",B32=1),'مدخلات (متوسط التأمين)'!$J$18,IF('مدخلات (متوسط التأمين)'!$H$18="شهري",'مدخلات (متوسط التأمين)'!$J$18,""))),"")</f>
        <v/>
      </c>
      <c r="L32" s="6">
        <f>IF(B32&lt;=$C$6,(IF(B32&lt;&gt;"",IF(AND('مدخلات (متوسط التأمين)'!$H$19="سنوي",MOD(B32,12)=0),'مدخلات (متوسط التأمين)'!$J$19,IF(AND('مدخلات (متوسط التأمين)'!$H$19="القسط (الدفعة) الاول",B32=1),'مدخلات (متوسط التأمين)'!$J$19,IF('مدخلات (متوسط التأمين)'!$H$19="شهري",'مدخلات (متوسط التأمين)'!$J$19,""))),""))," ")</f>
        <v>552</v>
      </c>
      <c r="M32" s="6">
        <f>IF(B32&lt;&gt;"",IF(AND('مدخلات (متوسط التأمين)'!$H$20="سنوي",MOD(B32,12)=0),'مدخلات (متوسط التأمين)'!$J$20,IF(AND('مدخلات (متوسط التأمين)'!$H$20="القسط (الدفعة) الاول",B32=1),'مدخلات (متوسط التأمين)'!$J$20,IF('مدخلات (متوسط التأمين)'!$H$20="شهري",'مدخلات (متوسط التأمين)'!$J$20,IF(AND('مدخلات (متوسط التأمين)'!$H$20="End of the loan",B32='مدخلات (متوسط التأمين)'!$E$22),'مدخلات (متوسط التأمين)'!$J$20,"")))),"")</f>
        <v>0</v>
      </c>
      <c r="N32" s="6">
        <f t="shared" si="0"/>
        <v>552</v>
      </c>
      <c r="O32" s="4">
        <f t="shared" si="1"/>
        <v>5509.4165516832718</v>
      </c>
      <c r="S32" s="9">
        <f t="shared" si="2"/>
        <v>45741</v>
      </c>
      <c r="T32" s="5">
        <f t="shared" si="6"/>
        <v>5509.42</v>
      </c>
      <c r="V32" s="97"/>
      <c r="W32" s="89"/>
    </row>
    <row r="33" spans="1:23" x14ac:dyDescent="0.2">
      <c r="A33" s="1">
        <f t="shared" si="11"/>
        <v>2</v>
      </c>
      <c r="B33" s="16">
        <f t="shared" si="7"/>
        <v>16</v>
      </c>
      <c r="C33" s="9">
        <f t="shared" si="8"/>
        <v>45772</v>
      </c>
      <c r="D33" s="6">
        <f>IFERROR(PPMT('مدخلات (متوسط التأمين)'!$E$18/12,B33,$C$6,'مدخلات (متوسط التأمين)'!$E$17,-$C$13,0)," ")</f>
        <v>-3902.4970215125136</v>
      </c>
      <c r="E33" s="6">
        <f>IFERROR(IPMT('مدخلات (متوسط التأمين)'!$E$18/12,B33,$C$6,'مدخلات (متوسط التأمين)'!$E$17,-$C$13,0)," ")</f>
        <v>-1054.919530170758</v>
      </c>
      <c r="F33" s="6">
        <f t="shared" si="9"/>
        <v>-60459.528520568303</v>
      </c>
      <c r="G33" s="6">
        <f t="shared" si="10"/>
        <v>-18859.136306364042</v>
      </c>
      <c r="H33" s="6">
        <f t="shared" si="4"/>
        <v>-4957.4165516832718</v>
      </c>
      <c r="I33" s="6">
        <f t="shared" si="5"/>
        <v>239540.4714794317</v>
      </c>
      <c r="J33" s="6" t="str">
        <f>IF(B33&lt;&gt;"",IF(AND('مدخلات (متوسط التأمين)'!$H$17="سنوي",MOD(B33,12)=0),'مدخلات (متوسط التأمين)'!$J$17,IF(AND('مدخلات (متوسط التأمين)'!$H$17="القسط (الدفعة) الاول",B33=1),'مدخلات (متوسط التأمين)'!$J$17,IF('مدخلات (متوسط التأمين)'!$H$17="شهري",'مدخلات (متوسط التأمين)'!$J$17,""))),"")</f>
        <v/>
      </c>
      <c r="K33" s="6" t="str">
        <f>IF(B33&lt;&gt;"",IF(AND('مدخلات (متوسط التأمين)'!$H$18="سنوي",MOD(B33,12)=0),'مدخلات (متوسط التأمين)'!$J$18,IF(AND('مدخلات (متوسط التأمين)'!$H$18="القسط (الدفعة) الاول",B33=1),'مدخلات (متوسط التأمين)'!$J$18,IF('مدخلات (متوسط التأمين)'!$H$18="شهري",'مدخلات (متوسط التأمين)'!$J$18,""))),"")</f>
        <v/>
      </c>
      <c r="L33" s="6">
        <f>IF(B33&lt;=$C$6,(IF(B33&lt;&gt;"",IF(AND('مدخلات (متوسط التأمين)'!$H$19="سنوي",MOD(B33,12)=0),'مدخلات (متوسط التأمين)'!$J$19,IF(AND('مدخلات (متوسط التأمين)'!$H$19="القسط (الدفعة) الاول",B33=1),'مدخلات (متوسط التأمين)'!$J$19,IF('مدخلات (متوسط التأمين)'!$H$19="شهري",'مدخلات (متوسط التأمين)'!$J$19,""))),""))," ")</f>
        <v>552</v>
      </c>
      <c r="M33" s="6">
        <f>IF(B33&lt;&gt;"",IF(AND('مدخلات (متوسط التأمين)'!$H$20="سنوي",MOD(B33,12)=0),'مدخلات (متوسط التأمين)'!$J$20,IF(AND('مدخلات (متوسط التأمين)'!$H$20="القسط (الدفعة) الاول",B33=1),'مدخلات (متوسط التأمين)'!$J$20,IF('مدخلات (متوسط التأمين)'!$H$20="شهري",'مدخلات (متوسط التأمين)'!$J$20,IF(AND('مدخلات (متوسط التأمين)'!$H$20="End of the loan",B33='مدخلات (متوسط التأمين)'!$E$22),'مدخلات (متوسط التأمين)'!$J$20,"")))),"")</f>
        <v>0</v>
      </c>
      <c r="N33" s="6">
        <f t="shared" si="0"/>
        <v>552</v>
      </c>
      <c r="O33" s="4">
        <f t="shared" si="1"/>
        <v>5509.4165516832718</v>
      </c>
      <c r="S33" s="9">
        <f t="shared" si="2"/>
        <v>45772</v>
      </c>
      <c r="T33" s="5">
        <f t="shared" si="6"/>
        <v>5509.42</v>
      </c>
      <c r="V33" s="97"/>
      <c r="W33" s="89"/>
    </row>
    <row r="34" spans="1:23" x14ac:dyDescent="0.2">
      <c r="A34" s="1">
        <f t="shared" si="11"/>
        <v>2</v>
      </c>
      <c r="B34" s="16">
        <f t="shared" si="7"/>
        <v>17</v>
      </c>
      <c r="C34" s="9">
        <f t="shared" si="8"/>
        <v>45802</v>
      </c>
      <c r="D34" s="6">
        <f>IFERROR(PPMT('مدخلات (متوسط التأمين)'!$E$18/12,B34,$C$6,'مدخلات (متوسط التأمين)'!$E$17,-$C$13,0)," ")</f>
        <v>-3919.4078419390676</v>
      </c>
      <c r="E34" s="6">
        <f>IFERROR(IPMT('مدخلات (متوسط التأمين)'!$E$18/12,B34,$C$6,'مدخلات (متوسط التأمين)'!$E$17,-$C$13,0)," ")</f>
        <v>-1038.008709744204</v>
      </c>
      <c r="F34" s="6">
        <f t="shared" si="9"/>
        <v>-64378.936362507367</v>
      </c>
      <c r="G34" s="6">
        <f t="shared" si="10"/>
        <v>-19897.145016108247</v>
      </c>
      <c r="H34" s="6">
        <f t="shared" si="4"/>
        <v>-4957.4165516832718</v>
      </c>
      <c r="I34" s="6">
        <f t="shared" si="5"/>
        <v>235621.06363749263</v>
      </c>
      <c r="J34" s="6" t="str">
        <f>IF(B34&lt;&gt;"",IF(AND('مدخلات (متوسط التأمين)'!$H$17="سنوي",MOD(B34,12)=0),'مدخلات (متوسط التأمين)'!$J$17,IF(AND('مدخلات (متوسط التأمين)'!$H$17="القسط (الدفعة) الاول",B34=1),'مدخلات (متوسط التأمين)'!$J$17,IF('مدخلات (متوسط التأمين)'!$H$17="شهري",'مدخلات (متوسط التأمين)'!$J$17,""))),"")</f>
        <v/>
      </c>
      <c r="K34" s="6" t="str">
        <f>IF(B34&lt;&gt;"",IF(AND('مدخلات (متوسط التأمين)'!$H$18="سنوي",MOD(B34,12)=0),'مدخلات (متوسط التأمين)'!$J$18,IF(AND('مدخلات (متوسط التأمين)'!$H$18="القسط (الدفعة) الاول",B34=1),'مدخلات (متوسط التأمين)'!$J$18,IF('مدخلات (متوسط التأمين)'!$H$18="شهري",'مدخلات (متوسط التأمين)'!$J$18,""))),"")</f>
        <v/>
      </c>
      <c r="L34" s="6">
        <f>IF(B34&lt;=$C$6,(IF(B34&lt;&gt;"",IF(AND('مدخلات (متوسط التأمين)'!$H$19="سنوي",MOD(B34,12)=0),'مدخلات (متوسط التأمين)'!$J$19,IF(AND('مدخلات (متوسط التأمين)'!$H$19="القسط (الدفعة) الاول",B34=1),'مدخلات (متوسط التأمين)'!$J$19,IF('مدخلات (متوسط التأمين)'!$H$19="شهري",'مدخلات (متوسط التأمين)'!$J$19,""))),""))," ")</f>
        <v>552</v>
      </c>
      <c r="M34" s="6">
        <f>IF(B34&lt;&gt;"",IF(AND('مدخلات (متوسط التأمين)'!$H$20="سنوي",MOD(B34,12)=0),'مدخلات (متوسط التأمين)'!$J$20,IF(AND('مدخلات (متوسط التأمين)'!$H$20="القسط (الدفعة) الاول",B34=1),'مدخلات (متوسط التأمين)'!$J$20,IF('مدخلات (متوسط التأمين)'!$H$20="شهري",'مدخلات (متوسط التأمين)'!$J$20,IF(AND('مدخلات (متوسط التأمين)'!$H$20="End of the loan",B34='مدخلات (متوسط التأمين)'!$E$22),'مدخلات (متوسط التأمين)'!$J$20,"")))),"")</f>
        <v>0</v>
      </c>
      <c r="N34" s="6">
        <f t="shared" si="0"/>
        <v>552</v>
      </c>
      <c r="O34" s="4">
        <f t="shared" si="1"/>
        <v>5509.4165516832718</v>
      </c>
      <c r="S34" s="9">
        <f t="shared" si="2"/>
        <v>45802</v>
      </c>
      <c r="T34" s="5">
        <f t="shared" si="6"/>
        <v>5509.42</v>
      </c>
      <c r="V34" s="97"/>
      <c r="W34" s="89"/>
    </row>
    <row r="35" spans="1:23" x14ac:dyDescent="0.2">
      <c r="A35" s="1">
        <f t="shared" si="11"/>
        <v>2</v>
      </c>
      <c r="B35" s="16">
        <f t="shared" si="7"/>
        <v>18</v>
      </c>
      <c r="C35" s="9">
        <f t="shared" si="8"/>
        <v>45833</v>
      </c>
      <c r="D35" s="6">
        <f>IFERROR(PPMT('مدخلات (متوسط التأمين)'!$E$18/12,B35,$C$6,'مدخلات (متوسط التأمين)'!$E$17,-$C$13,0)," ")</f>
        <v>-3936.3919425874706</v>
      </c>
      <c r="E35" s="6">
        <f>IFERROR(IPMT('مدخلات (متوسط التأمين)'!$E$18/12,B35,$C$6,'مدخلات (متوسط التأمين)'!$E$17,-$C$13,0)," ")</f>
        <v>-1021.0246090958011</v>
      </c>
      <c r="F35" s="6">
        <f t="shared" si="9"/>
        <v>-68315.328305094838</v>
      </c>
      <c r="G35" s="6">
        <f t="shared" si="10"/>
        <v>-20918.169625204049</v>
      </c>
      <c r="H35" s="6">
        <f t="shared" si="4"/>
        <v>-4957.4165516832718</v>
      </c>
      <c r="I35" s="6">
        <f t="shared" si="5"/>
        <v>231684.67169490515</v>
      </c>
      <c r="J35" s="6" t="str">
        <f>IF(B35&lt;&gt;"",IF(AND('مدخلات (متوسط التأمين)'!$H$17="سنوي",MOD(B35,12)=0),'مدخلات (متوسط التأمين)'!$J$17,IF(AND('مدخلات (متوسط التأمين)'!$H$17="القسط (الدفعة) الاول",B35=1),'مدخلات (متوسط التأمين)'!$J$17,IF('مدخلات (متوسط التأمين)'!$H$17="شهري",'مدخلات (متوسط التأمين)'!$J$17,""))),"")</f>
        <v/>
      </c>
      <c r="K35" s="6" t="str">
        <f>IF(B35&lt;&gt;"",IF(AND('مدخلات (متوسط التأمين)'!$H$18="سنوي",MOD(B35,12)=0),'مدخلات (متوسط التأمين)'!$J$18,IF(AND('مدخلات (متوسط التأمين)'!$H$18="القسط (الدفعة) الاول",B35=1),'مدخلات (متوسط التأمين)'!$J$18,IF('مدخلات (متوسط التأمين)'!$H$18="شهري",'مدخلات (متوسط التأمين)'!$J$18,""))),"")</f>
        <v/>
      </c>
      <c r="L35" s="6">
        <f>IF(B35&lt;=$C$6,(IF(B35&lt;&gt;"",IF(AND('مدخلات (متوسط التأمين)'!$H$19="سنوي",MOD(B35,12)=0),'مدخلات (متوسط التأمين)'!$J$19,IF(AND('مدخلات (متوسط التأمين)'!$H$19="القسط (الدفعة) الاول",B35=1),'مدخلات (متوسط التأمين)'!$J$19,IF('مدخلات (متوسط التأمين)'!$H$19="شهري",'مدخلات (متوسط التأمين)'!$J$19,""))),""))," ")</f>
        <v>552</v>
      </c>
      <c r="M35" s="6">
        <f>IF(B35&lt;&gt;"",IF(AND('مدخلات (متوسط التأمين)'!$H$20="سنوي",MOD(B35,12)=0),'مدخلات (متوسط التأمين)'!$J$20,IF(AND('مدخلات (متوسط التأمين)'!$H$20="القسط (الدفعة) الاول",B35=1),'مدخلات (متوسط التأمين)'!$J$20,IF('مدخلات (متوسط التأمين)'!$H$20="شهري",'مدخلات (متوسط التأمين)'!$J$20,IF(AND('مدخلات (متوسط التأمين)'!$H$20="End of the loan",B35='مدخلات (متوسط التأمين)'!$E$22),'مدخلات (متوسط التأمين)'!$J$20,"")))),"")</f>
        <v>0</v>
      </c>
      <c r="N35" s="6">
        <f t="shared" si="0"/>
        <v>552</v>
      </c>
      <c r="O35" s="4">
        <f t="shared" si="1"/>
        <v>5509.4165516832718</v>
      </c>
      <c r="S35" s="9">
        <f t="shared" si="2"/>
        <v>45833</v>
      </c>
      <c r="T35" s="5">
        <f t="shared" si="6"/>
        <v>5509.42</v>
      </c>
      <c r="V35" s="97"/>
      <c r="W35" s="89"/>
    </row>
    <row r="36" spans="1:23" x14ac:dyDescent="0.2">
      <c r="A36" s="1">
        <f t="shared" si="11"/>
        <v>2</v>
      </c>
      <c r="B36" s="16">
        <f t="shared" si="7"/>
        <v>19</v>
      </c>
      <c r="C36" s="9">
        <f t="shared" si="8"/>
        <v>45863</v>
      </c>
      <c r="D36" s="6">
        <f>IFERROR(PPMT('مدخلات (متوسط التأمين)'!$E$18/12,B36,$C$6,'مدخلات (متوسط التأمين)'!$E$17,-$C$13,0)," ")</f>
        <v>-3953.4496410053498</v>
      </c>
      <c r="E36" s="6">
        <f>IFERROR(IPMT('مدخلات (متوسط التأمين)'!$E$18/12,B36,$C$6,'مدخلات (متوسط التأمين)'!$E$17,-$C$13,0)," ")</f>
        <v>-1003.9669106779222</v>
      </c>
      <c r="F36" s="6">
        <f t="shared" si="9"/>
        <v>-72268.777946100192</v>
      </c>
      <c r="G36" s="6">
        <f t="shared" si="10"/>
        <v>-21922.136535881971</v>
      </c>
      <c r="H36" s="6">
        <f t="shared" si="4"/>
        <v>-4957.4165516832718</v>
      </c>
      <c r="I36" s="6">
        <f t="shared" si="5"/>
        <v>227731.22205389981</v>
      </c>
      <c r="J36" s="6" t="str">
        <f>IF(B36&lt;&gt;"",IF(AND('مدخلات (متوسط التأمين)'!$H$17="سنوي",MOD(B36,12)=0),'مدخلات (متوسط التأمين)'!$J$17,IF(AND('مدخلات (متوسط التأمين)'!$H$17="القسط (الدفعة) الاول",B36=1),'مدخلات (متوسط التأمين)'!$J$17,IF('مدخلات (متوسط التأمين)'!$H$17="شهري",'مدخلات (متوسط التأمين)'!$J$17,""))),"")</f>
        <v/>
      </c>
      <c r="K36" s="6" t="str">
        <f>IF(B36&lt;&gt;"",IF(AND('مدخلات (متوسط التأمين)'!$H$18="سنوي",MOD(B36,12)=0),'مدخلات (متوسط التأمين)'!$J$18,IF(AND('مدخلات (متوسط التأمين)'!$H$18="القسط (الدفعة) الاول",B36=1),'مدخلات (متوسط التأمين)'!$J$18,IF('مدخلات (متوسط التأمين)'!$H$18="شهري",'مدخلات (متوسط التأمين)'!$J$18,""))),"")</f>
        <v/>
      </c>
      <c r="L36" s="6">
        <f>IF(B36&lt;=$C$6,(IF(B36&lt;&gt;"",IF(AND('مدخلات (متوسط التأمين)'!$H$19="سنوي",MOD(B36,12)=0),'مدخلات (متوسط التأمين)'!$J$19,IF(AND('مدخلات (متوسط التأمين)'!$H$19="القسط (الدفعة) الاول",B36=1),'مدخلات (متوسط التأمين)'!$J$19,IF('مدخلات (متوسط التأمين)'!$H$19="شهري",'مدخلات (متوسط التأمين)'!$J$19,""))),""))," ")</f>
        <v>552</v>
      </c>
      <c r="M36" s="6">
        <f>IF(B36&lt;&gt;"",IF(AND('مدخلات (متوسط التأمين)'!$H$20="سنوي",MOD(B36,12)=0),'مدخلات (متوسط التأمين)'!$J$20,IF(AND('مدخلات (متوسط التأمين)'!$H$20="القسط (الدفعة) الاول",B36=1),'مدخلات (متوسط التأمين)'!$J$20,IF('مدخلات (متوسط التأمين)'!$H$20="شهري",'مدخلات (متوسط التأمين)'!$J$20,IF(AND('مدخلات (متوسط التأمين)'!$H$20="End of the loan",B36='مدخلات (متوسط التأمين)'!$E$22),'مدخلات (متوسط التأمين)'!$J$20,"")))),"")</f>
        <v>0</v>
      </c>
      <c r="N36" s="6">
        <f t="shared" si="0"/>
        <v>552</v>
      </c>
      <c r="O36" s="4">
        <f t="shared" si="1"/>
        <v>5509.4165516832718</v>
      </c>
      <c r="S36" s="9">
        <f t="shared" si="2"/>
        <v>45863</v>
      </c>
      <c r="T36" s="5">
        <f t="shared" si="6"/>
        <v>5509.42</v>
      </c>
      <c r="V36" s="97"/>
      <c r="W36" s="89"/>
    </row>
    <row r="37" spans="1:23" x14ac:dyDescent="0.2">
      <c r="A37" s="1">
        <f t="shared" si="11"/>
        <v>2</v>
      </c>
      <c r="B37" s="16">
        <f t="shared" si="7"/>
        <v>20</v>
      </c>
      <c r="C37" s="9">
        <f t="shared" si="8"/>
        <v>45894</v>
      </c>
      <c r="D37" s="6">
        <f>IFERROR(PPMT('مدخلات (متوسط التأمين)'!$E$18/12,B37,$C$6,'مدخلات (متوسط التأمين)'!$E$17,-$C$13,0)," ")</f>
        <v>-3970.581256116373</v>
      </c>
      <c r="E37" s="6">
        <f>IFERROR(IPMT('مدخلات (متوسط التأمين)'!$E$18/12,B37,$C$6,'مدخلات (متوسط التأمين)'!$E$17,-$C$13,0)," ")</f>
        <v>-986.83529556689905</v>
      </c>
      <c r="F37" s="6">
        <f t="shared" si="9"/>
        <v>-76239.359202216569</v>
      </c>
      <c r="G37" s="6">
        <f t="shared" si="10"/>
        <v>-22908.971831448871</v>
      </c>
      <c r="H37" s="6">
        <f t="shared" si="4"/>
        <v>-4957.4165516832718</v>
      </c>
      <c r="I37" s="6">
        <f t="shared" si="5"/>
        <v>223760.64079778345</v>
      </c>
      <c r="J37" s="6" t="str">
        <f>IF(B37&lt;&gt;"",IF(AND('مدخلات (متوسط التأمين)'!$H$17="سنوي",MOD(B37,12)=0),'مدخلات (متوسط التأمين)'!$J$17,IF(AND('مدخلات (متوسط التأمين)'!$H$17="القسط (الدفعة) الاول",B37=1),'مدخلات (متوسط التأمين)'!$J$17,IF('مدخلات (متوسط التأمين)'!$H$17="شهري",'مدخلات (متوسط التأمين)'!$J$17,""))),"")</f>
        <v/>
      </c>
      <c r="K37" s="6" t="str">
        <f>IF(B37&lt;&gt;"",IF(AND('مدخلات (متوسط التأمين)'!$H$18="سنوي",MOD(B37,12)=0),'مدخلات (متوسط التأمين)'!$J$18,IF(AND('مدخلات (متوسط التأمين)'!$H$18="القسط (الدفعة) الاول",B37=1),'مدخلات (متوسط التأمين)'!$J$18,IF('مدخلات (متوسط التأمين)'!$H$18="شهري",'مدخلات (متوسط التأمين)'!$J$18,""))),"")</f>
        <v/>
      </c>
      <c r="L37" s="6">
        <f>IF(B37&lt;=$C$6,(IF(B37&lt;&gt;"",IF(AND('مدخلات (متوسط التأمين)'!$H$19="سنوي",MOD(B37,12)=0),'مدخلات (متوسط التأمين)'!$J$19,IF(AND('مدخلات (متوسط التأمين)'!$H$19="القسط (الدفعة) الاول",B37=1),'مدخلات (متوسط التأمين)'!$J$19,IF('مدخلات (متوسط التأمين)'!$H$19="شهري",'مدخلات (متوسط التأمين)'!$J$19,""))),""))," ")</f>
        <v>552</v>
      </c>
      <c r="M37" s="6">
        <f>IF(B37&lt;&gt;"",IF(AND('مدخلات (متوسط التأمين)'!$H$20="سنوي",MOD(B37,12)=0),'مدخلات (متوسط التأمين)'!$J$20,IF(AND('مدخلات (متوسط التأمين)'!$H$20="القسط (الدفعة) الاول",B37=1),'مدخلات (متوسط التأمين)'!$J$20,IF('مدخلات (متوسط التأمين)'!$H$20="شهري",'مدخلات (متوسط التأمين)'!$J$20,IF(AND('مدخلات (متوسط التأمين)'!$H$20="End of the loan",B37='مدخلات (متوسط التأمين)'!$E$22),'مدخلات (متوسط التأمين)'!$J$20,"")))),"")</f>
        <v>0</v>
      </c>
      <c r="N37" s="6">
        <f t="shared" si="0"/>
        <v>552</v>
      </c>
      <c r="O37" s="4">
        <f t="shared" si="1"/>
        <v>5509.4165516832718</v>
      </c>
      <c r="S37" s="9">
        <f t="shared" si="2"/>
        <v>45894</v>
      </c>
      <c r="T37" s="5">
        <f t="shared" si="6"/>
        <v>5509.42</v>
      </c>
      <c r="V37" s="97"/>
      <c r="W37" s="89"/>
    </row>
    <row r="38" spans="1:23" x14ac:dyDescent="0.2">
      <c r="A38" s="1">
        <f t="shared" si="11"/>
        <v>2</v>
      </c>
      <c r="B38" s="16">
        <f t="shared" si="7"/>
        <v>21</v>
      </c>
      <c r="C38" s="9">
        <f t="shared" si="8"/>
        <v>45925</v>
      </c>
      <c r="D38" s="6">
        <f>IFERROR(PPMT('مدخلات (متوسط التأمين)'!$E$18/12,B38,$C$6,'مدخلات (متوسط التأمين)'!$E$17,-$C$13,0)," ")</f>
        <v>-3987.7871082262104</v>
      </c>
      <c r="E38" s="6">
        <f>IFERROR(IPMT('مدخلات (متوسط التأمين)'!$E$18/12,B38,$C$6,'مدخلات (متوسط التأمين)'!$E$17,-$C$13,0)," ")</f>
        <v>-969.62944345706126</v>
      </c>
      <c r="F38" s="6">
        <f t="shared" si="9"/>
        <v>-80227.146310442782</v>
      </c>
      <c r="G38" s="6">
        <f t="shared" si="10"/>
        <v>-23878.601274905934</v>
      </c>
      <c r="H38" s="6">
        <f t="shared" si="4"/>
        <v>-4957.4165516832718</v>
      </c>
      <c r="I38" s="6">
        <f t="shared" si="5"/>
        <v>219772.85368955723</v>
      </c>
      <c r="J38" s="6" t="str">
        <f>IF(B38&lt;&gt;"",IF(AND('مدخلات (متوسط التأمين)'!$H$17="سنوي",MOD(B38,12)=0),'مدخلات (متوسط التأمين)'!$J$17,IF(AND('مدخلات (متوسط التأمين)'!$H$17="القسط (الدفعة) الاول",B38=1),'مدخلات (متوسط التأمين)'!$J$17,IF('مدخلات (متوسط التأمين)'!$H$17="شهري",'مدخلات (متوسط التأمين)'!$J$17,""))),"")</f>
        <v/>
      </c>
      <c r="K38" s="6" t="str">
        <f>IF(B38&lt;&gt;"",IF(AND('مدخلات (متوسط التأمين)'!$H$18="سنوي",MOD(B38,12)=0),'مدخلات (متوسط التأمين)'!$J$18,IF(AND('مدخلات (متوسط التأمين)'!$H$18="القسط (الدفعة) الاول",B38=1),'مدخلات (متوسط التأمين)'!$J$18,IF('مدخلات (متوسط التأمين)'!$H$18="شهري",'مدخلات (متوسط التأمين)'!$J$18,""))),"")</f>
        <v/>
      </c>
      <c r="L38" s="6">
        <f>IF(B38&lt;=$C$6,(IF(B38&lt;&gt;"",IF(AND('مدخلات (متوسط التأمين)'!$H$19="سنوي",MOD(B38,12)=0),'مدخلات (متوسط التأمين)'!$J$19,IF(AND('مدخلات (متوسط التأمين)'!$H$19="القسط (الدفعة) الاول",B38=1),'مدخلات (متوسط التأمين)'!$J$19,IF('مدخلات (متوسط التأمين)'!$H$19="شهري",'مدخلات (متوسط التأمين)'!$J$19,""))),""))," ")</f>
        <v>552</v>
      </c>
      <c r="M38" s="6">
        <f>IF(B38&lt;&gt;"",IF(AND('مدخلات (متوسط التأمين)'!$H$20="سنوي",MOD(B38,12)=0),'مدخلات (متوسط التأمين)'!$J$20,IF(AND('مدخلات (متوسط التأمين)'!$H$20="القسط (الدفعة) الاول",B38=1),'مدخلات (متوسط التأمين)'!$J$20,IF('مدخلات (متوسط التأمين)'!$H$20="شهري",'مدخلات (متوسط التأمين)'!$J$20,IF(AND('مدخلات (متوسط التأمين)'!$H$20="End of the loan",B38='مدخلات (متوسط التأمين)'!$E$22),'مدخلات (متوسط التأمين)'!$J$20,"")))),"")</f>
        <v>0</v>
      </c>
      <c r="N38" s="6">
        <f t="shared" si="0"/>
        <v>552</v>
      </c>
      <c r="O38" s="4">
        <f t="shared" si="1"/>
        <v>5509.4165516832718</v>
      </c>
      <c r="S38" s="9">
        <f t="shared" si="2"/>
        <v>45925</v>
      </c>
      <c r="T38" s="5">
        <f t="shared" si="6"/>
        <v>5509.42</v>
      </c>
      <c r="V38" s="97"/>
      <c r="W38" s="89"/>
    </row>
    <row r="39" spans="1:23" x14ac:dyDescent="0.2">
      <c r="A39" s="1">
        <f t="shared" si="11"/>
        <v>2</v>
      </c>
      <c r="B39" s="16">
        <f t="shared" si="7"/>
        <v>22</v>
      </c>
      <c r="C39" s="9">
        <f t="shared" si="8"/>
        <v>45955</v>
      </c>
      <c r="D39" s="6">
        <f>IFERROR(PPMT('مدخلات (متوسط التأمين)'!$E$18/12,B39,$C$6,'مدخلات (متوسط التأمين)'!$E$17,-$C$13,0)," ")</f>
        <v>-4005.0675190285242</v>
      </c>
      <c r="E39" s="6">
        <f>IFERROR(IPMT('مدخلات (متوسط التأمين)'!$E$18/12,B39,$C$6,'مدخلات (متوسط التأمين)'!$E$17,-$C$13,0)," ")</f>
        <v>-952.3490326547477</v>
      </c>
      <c r="F39" s="6">
        <f t="shared" si="9"/>
        <v>-84232.213829471308</v>
      </c>
      <c r="G39" s="6">
        <f t="shared" si="10"/>
        <v>-24830.950307560681</v>
      </c>
      <c r="H39" s="6">
        <f t="shared" si="4"/>
        <v>-4957.4165516832718</v>
      </c>
      <c r="I39" s="6">
        <f t="shared" si="5"/>
        <v>215767.78617052868</v>
      </c>
      <c r="J39" s="6" t="str">
        <f>IF(B39&lt;&gt;"",IF(AND('مدخلات (متوسط التأمين)'!$H$17="سنوي",MOD(B39,12)=0),'مدخلات (متوسط التأمين)'!$J$17,IF(AND('مدخلات (متوسط التأمين)'!$H$17="القسط (الدفعة) الاول",B39=1),'مدخلات (متوسط التأمين)'!$J$17,IF('مدخلات (متوسط التأمين)'!$H$17="شهري",'مدخلات (متوسط التأمين)'!$J$17,""))),"")</f>
        <v/>
      </c>
      <c r="K39" s="6" t="str">
        <f>IF(B39&lt;&gt;"",IF(AND('مدخلات (متوسط التأمين)'!$H$18="سنوي",MOD(B39,12)=0),'مدخلات (متوسط التأمين)'!$J$18,IF(AND('مدخلات (متوسط التأمين)'!$H$18="القسط (الدفعة) الاول",B39=1),'مدخلات (متوسط التأمين)'!$J$18,IF('مدخلات (متوسط التأمين)'!$H$18="شهري",'مدخلات (متوسط التأمين)'!$J$18,""))),"")</f>
        <v/>
      </c>
      <c r="L39" s="6">
        <f>IF(B39&lt;=$C$6,(IF(B39&lt;&gt;"",IF(AND('مدخلات (متوسط التأمين)'!$H$19="سنوي",MOD(B39,12)=0),'مدخلات (متوسط التأمين)'!$J$19,IF(AND('مدخلات (متوسط التأمين)'!$H$19="القسط (الدفعة) الاول",B39=1),'مدخلات (متوسط التأمين)'!$J$19,IF('مدخلات (متوسط التأمين)'!$H$19="شهري",'مدخلات (متوسط التأمين)'!$J$19,""))),""))," ")</f>
        <v>552</v>
      </c>
      <c r="M39" s="6">
        <f>IF(B39&lt;&gt;"",IF(AND('مدخلات (متوسط التأمين)'!$H$20="سنوي",MOD(B39,12)=0),'مدخلات (متوسط التأمين)'!$J$20,IF(AND('مدخلات (متوسط التأمين)'!$H$20="القسط (الدفعة) الاول",B39=1),'مدخلات (متوسط التأمين)'!$J$20,IF('مدخلات (متوسط التأمين)'!$H$20="شهري",'مدخلات (متوسط التأمين)'!$J$20,IF(AND('مدخلات (متوسط التأمين)'!$H$20="End of the loan",B39='مدخلات (متوسط التأمين)'!$E$22),'مدخلات (متوسط التأمين)'!$J$20,"")))),"")</f>
        <v>0</v>
      </c>
      <c r="N39" s="6">
        <f t="shared" si="0"/>
        <v>552</v>
      </c>
      <c r="O39" s="4">
        <f t="shared" si="1"/>
        <v>5509.4165516832718</v>
      </c>
      <c r="S39" s="9">
        <f t="shared" si="2"/>
        <v>45955</v>
      </c>
      <c r="T39" s="5">
        <f t="shared" si="6"/>
        <v>5509.42</v>
      </c>
      <c r="V39" s="97"/>
      <c r="W39" s="89"/>
    </row>
    <row r="40" spans="1:23" x14ac:dyDescent="0.2">
      <c r="A40" s="1">
        <f t="shared" si="11"/>
        <v>2</v>
      </c>
      <c r="B40" s="16">
        <f t="shared" si="7"/>
        <v>23</v>
      </c>
      <c r="C40" s="9">
        <f t="shared" si="8"/>
        <v>45986</v>
      </c>
      <c r="D40" s="6">
        <f>IFERROR(PPMT('مدخلات (متوسط التأمين)'!$E$18/12,B40,$C$6,'مدخلات (متوسط التأمين)'!$E$17,-$C$13,0)," ")</f>
        <v>-4022.4228116109807</v>
      </c>
      <c r="E40" s="6">
        <f>IFERROR(IPMT('مدخلات (متوسط التأمين)'!$E$18/12,B40,$C$6,'مدخلات (متوسط التأمين)'!$E$17,-$C$13,0)," ")</f>
        <v>-934.99374007229085</v>
      </c>
      <c r="F40" s="6">
        <f t="shared" si="9"/>
        <v>-88254.636641082296</v>
      </c>
      <c r="G40" s="6">
        <f t="shared" si="10"/>
        <v>-25765.944047632973</v>
      </c>
      <c r="H40" s="6">
        <f t="shared" si="4"/>
        <v>-4957.4165516832718</v>
      </c>
      <c r="I40" s="6">
        <f t="shared" si="5"/>
        <v>211745.3633589177</v>
      </c>
      <c r="J40" s="6" t="str">
        <f>IF(B40&lt;&gt;"",IF(AND('مدخلات (متوسط التأمين)'!$H$17="سنوي",MOD(B40,12)=0),'مدخلات (متوسط التأمين)'!$J$17,IF(AND('مدخلات (متوسط التأمين)'!$H$17="القسط (الدفعة) الاول",B40=1),'مدخلات (متوسط التأمين)'!$J$17,IF('مدخلات (متوسط التأمين)'!$H$17="شهري",'مدخلات (متوسط التأمين)'!$J$17,""))),"")</f>
        <v/>
      </c>
      <c r="K40" s="6" t="str">
        <f>IF(B40&lt;&gt;"",IF(AND('مدخلات (متوسط التأمين)'!$H$18="سنوي",MOD(B40,12)=0),'مدخلات (متوسط التأمين)'!$J$18,IF(AND('مدخلات (متوسط التأمين)'!$H$18="القسط (الدفعة) الاول",B40=1),'مدخلات (متوسط التأمين)'!$J$18,IF('مدخلات (متوسط التأمين)'!$H$18="شهري",'مدخلات (متوسط التأمين)'!$J$18,""))),"")</f>
        <v/>
      </c>
      <c r="L40" s="6">
        <f>IF(B40&lt;=$C$6,(IF(B40&lt;&gt;"",IF(AND('مدخلات (متوسط التأمين)'!$H$19="سنوي",MOD(B40,12)=0),'مدخلات (متوسط التأمين)'!$J$19,IF(AND('مدخلات (متوسط التأمين)'!$H$19="القسط (الدفعة) الاول",B40=1),'مدخلات (متوسط التأمين)'!$J$19,IF('مدخلات (متوسط التأمين)'!$H$19="شهري",'مدخلات (متوسط التأمين)'!$J$19,""))),""))," ")</f>
        <v>552</v>
      </c>
      <c r="M40" s="6">
        <f>IF(B40&lt;&gt;"",IF(AND('مدخلات (متوسط التأمين)'!$H$20="سنوي",MOD(B40,12)=0),'مدخلات (متوسط التأمين)'!$J$20,IF(AND('مدخلات (متوسط التأمين)'!$H$20="القسط (الدفعة) الاول",B40=1),'مدخلات (متوسط التأمين)'!$J$20,IF('مدخلات (متوسط التأمين)'!$H$20="شهري",'مدخلات (متوسط التأمين)'!$J$20,IF(AND('مدخلات (متوسط التأمين)'!$H$20="End of the loan",B40='مدخلات (متوسط التأمين)'!$E$22),'مدخلات (متوسط التأمين)'!$J$20,"")))),"")</f>
        <v>0</v>
      </c>
      <c r="N40" s="6">
        <f t="shared" si="0"/>
        <v>552</v>
      </c>
      <c r="O40" s="4">
        <f t="shared" si="1"/>
        <v>5509.4165516832718</v>
      </c>
      <c r="S40" s="9">
        <f t="shared" si="2"/>
        <v>45986</v>
      </c>
      <c r="T40" s="5">
        <f t="shared" si="6"/>
        <v>5509.42</v>
      </c>
      <c r="V40" s="97"/>
      <c r="W40" s="89"/>
    </row>
    <row r="41" spans="1:23" x14ac:dyDescent="0.2">
      <c r="A41" s="1">
        <f t="shared" si="11"/>
        <v>2</v>
      </c>
      <c r="B41" s="16">
        <f t="shared" si="7"/>
        <v>24</v>
      </c>
      <c r="C41" s="9">
        <f t="shared" si="8"/>
        <v>46016</v>
      </c>
      <c r="D41" s="6">
        <f>IFERROR(PPMT('مدخلات (متوسط التأمين)'!$E$18/12,B41,$C$6,'مدخلات (متوسط التأمين)'!$E$17,-$C$13,0)," ")</f>
        <v>-4039.8533104612948</v>
      </c>
      <c r="E41" s="6">
        <f>IFERROR(IPMT('مدخلات (متوسط التأمين)'!$E$18/12,B41,$C$6,'مدخلات (متوسط التأمين)'!$E$17,-$C$13,0)," ")</f>
        <v>-917.56324122197657</v>
      </c>
      <c r="F41" s="6">
        <f t="shared" si="9"/>
        <v>-92294.489951543597</v>
      </c>
      <c r="G41" s="6">
        <f t="shared" si="10"/>
        <v>-26683.507288854948</v>
      </c>
      <c r="H41" s="6">
        <f t="shared" si="4"/>
        <v>-4957.4165516832709</v>
      </c>
      <c r="I41" s="6">
        <f t="shared" si="5"/>
        <v>207705.5100484564</v>
      </c>
      <c r="J41" s="6" t="str">
        <f>IF(B41&lt;&gt;"",IF(AND('مدخلات (متوسط التأمين)'!$H$17="سنوي",MOD(B41,12)=0),'مدخلات (متوسط التأمين)'!$J$17,IF(AND('مدخلات (متوسط التأمين)'!$H$17="القسط (الدفعة) الاول",B41=1),'مدخلات (متوسط التأمين)'!$J$17,IF('مدخلات (متوسط التأمين)'!$H$17="شهري",'مدخلات (متوسط التأمين)'!$J$17,""))),"")</f>
        <v/>
      </c>
      <c r="K41" s="6">
        <f>IF(B41&lt;&gt;"",IF(AND('مدخلات (متوسط التأمين)'!$H$18="سنوي",MOD(B41,12)=0),'مدخلات (متوسط التأمين)'!$J$18,IF(AND('مدخلات (متوسط التأمين)'!$H$18="القسط (الدفعة) الاول",B41=1),'مدخلات (متوسط التأمين)'!$J$18,IF('مدخلات (متوسط التأمين)'!$H$18="شهري",'مدخلات (متوسط التأمين)'!$J$18,""))),"")</f>
        <v>0</v>
      </c>
      <c r="L41" s="6">
        <f>IF(B41&lt;=$C$6,(IF(B41&lt;&gt;"",IF(AND('مدخلات (متوسط التأمين)'!$H$19="سنوي",MOD(B41,12)=0),'مدخلات (متوسط التأمين)'!$J$19,IF(AND('مدخلات (متوسط التأمين)'!$H$19="القسط (الدفعة) الاول",B41=1),'مدخلات (متوسط التأمين)'!$J$19,IF('مدخلات (متوسط التأمين)'!$H$19="شهري",'مدخلات (متوسط التأمين)'!$J$19,""))),""))," ")</f>
        <v>552</v>
      </c>
      <c r="M41" s="6">
        <f>IF(B41&lt;&gt;"",IF(AND('مدخلات (متوسط التأمين)'!$H$20="سنوي",MOD(B41,12)=0),'مدخلات (متوسط التأمين)'!$J$20,IF(AND('مدخلات (متوسط التأمين)'!$H$20="القسط (الدفعة) الاول",B41=1),'مدخلات (متوسط التأمين)'!$J$20,IF('مدخلات (متوسط التأمين)'!$H$20="شهري",'مدخلات (متوسط التأمين)'!$J$20,IF(AND('مدخلات (متوسط التأمين)'!$H$20="End of the loan",B41='مدخلات (متوسط التأمين)'!$E$22),'مدخلات (متوسط التأمين)'!$J$20,"")))),"")</f>
        <v>0</v>
      </c>
      <c r="N41" s="6">
        <f t="shared" si="0"/>
        <v>552</v>
      </c>
      <c r="O41" s="4">
        <f t="shared" si="1"/>
        <v>5509.4165516832709</v>
      </c>
      <c r="S41" s="9">
        <f t="shared" si="2"/>
        <v>46016</v>
      </c>
      <c r="T41" s="5">
        <f t="shared" si="6"/>
        <v>5509.42</v>
      </c>
      <c r="V41" s="97"/>
      <c r="W41" s="89"/>
    </row>
    <row r="42" spans="1:23" x14ac:dyDescent="0.2">
      <c r="A42" s="1">
        <f>IF(B42&lt;&gt;"",3,"")</f>
        <v>3</v>
      </c>
      <c r="B42" s="16">
        <f t="shared" si="7"/>
        <v>25</v>
      </c>
      <c r="C42" s="9">
        <f t="shared" si="8"/>
        <v>46047</v>
      </c>
      <c r="D42" s="6">
        <f>IFERROR(PPMT('مدخلات (متوسط التأمين)'!$E$18/12,B42,$C$6,'مدخلات (متوسط التأمين)'!$E$17,-$C$13,0)," ")</f>
        <v>-4057.3593414732941</v>
      </c>
      <c r="E42" s="6">
        <f>IFERROR(IPMT('مدخلات (متوسط التأمين)'!$E$18/12,B42,$C$6,'مدخلات (متوسط التأمين)'!$E$17,-$C$13,0)," ")</f>
        <v>-900.05721020997771</v>
      </c>
      <c r="F42" s="6">
        <f t="shared" si="9"/>
        <v>-96351.849293016887</v>
      </c>
      <c r="G42" s="6">
        <f t="shared" si="10"/>
        <v>-27583.564499064923</v>
      </c>
      <c r="H42" s="6">
        <f t="shared" si="4"/>
        <v>-4957.4165516832718</v>
      </c>
      <c r="I42" s="6">
        <f t="shared" si="5"/>
        <v>203648.15070698311</v>
      </c>
      <c r="J42" s="6" t="str">
        <f>IF(B42&lt;&gt;"",IF(AND('مدخلات (متوسط التأمين)'!$H$17="سنوي",MOD(B42,12)=0),'مدخلات (متوسط التأمين)'!$J$17,IF(AND('مدخلات (متوسط التأمين)'!$H$17="القسط (الدفعة) الاول",B42=1),'مدخلات (متوسط التأمين)'!$J$17,IF('مدخلات (متوسط التأمين)'!$H$17="شهري",'مدخلات (متوسط التأمين)'!$J$17,""))),"")</f>
        <v/>
      </c>
      <c r="K42" s="6" t="str">
        <f>IF(B42&lt;&gt;"",IF(AND('مدخلات (متوسط التأمين)'!$H$18="سنوي",MOD(B42,12)=0),'مدخلات (متوسط التأمين)'!$J$18,IF(AND('مدخلات (متوسط التأمين)'!$H$18="القسط (الدفعة) الاول",B42=1),'مدخلات (متوسط التأمين)'!$J$18,IF('مدخلات (متوسط التأمين)'!$H$18="شهري",'مدخلات (متوسط التأمين)'!$J$18,""))),"")</f>
        <v/>
      </c>
      <c r="L42" s="6">
        <f>IF(B42&lt;=$C$6,(IF(B42&lt;&gt;"",IF(AND('مدخلات (متوسط التأمين)'!$H$19="سنوي",MOD(B42,12)=0),'مدخلات (متوسط التأمين)'!$J$19,IF(AND('مدخلات (متوسط التأمين)'!$H$19="القسط (الدفعة) الاول",B42=1),'مدخلات (متوسط التأمين)'!$J$19,IF('مدخلات (متوسط التأمين)'!$H$19="شهري",'مدخلات (متوسط التأمين)'!$J$19,""))),""))," ")</f>
        <v>552</v>
      </c>
      <c r="M42" s="6">
        <f>IF(B42&lt;&gt;"",IF(AND('مدخلات (متوسط التأمين)'!$H$20="سنوي",MOD(B42,12)=0),'مدخلات (متوسط التأمين)'!$J$20,IF(AND('مدخلات (متوسط التأمين)'!$H$20="القسط (الدفعة) الاول",B42=1),'مدخلات (متوسط التأمين)'!$J$20,IF('مدخلات (متوسط التأمين)'!$H$20="شهري",'مدخلات (متوسط التأمين)'!$J$20,IF(AND('مدخلات (متوسط التأمين)'!$H$20="End of the loan",B42='مدخلات (متوسط التأمين)'!$E$22),'مدخلات (متوسط التأمين)'!$J$20,"")))),"")</f>
        <v>0</v>
      </c>
      <c r="N42" s="6">
        <f t="shared" si="0"/>
        <v>552</v>
      </c>
      <c r="O42" s="4">
        <f t="shared" si="1"/>
        <v>5509.4165516832718</v>
      </c>
      <c r="S42" s="9">
        <f t="shared" si="2"/>
        <v>46047</v>
      </c>
      <c r="T42" s="5">
        <f t="shared" si="6"/>
        <v>5509.42</v>
      </c>
      <c r="V42" s="97"/>
      <c r="W42" s="89"/>
    </row>
    <row r="43" spans="1:23" x14ac:dyDescent="0.2">
      <c r="A43" s="1">
        <f t="shared" ref="A43:A53" si="12">IF(B43&lt;&gt;"",3,"")</f>
        <v>3</v>
      </c>
      <c r="B43" s="16">
        <f t="shared" si="7"/>
        <v>26</v>
      </c>
      <c r="C43" s="9">
        <f t="shared" si="8"/>
        <v>46078</v>
      </c>
      <c r="D43" s="6">
        <f>IFERROR(PPMT('مدخلات (متوسط التأمين)'!$E$18/12,B43,$C$6,'مدخلات (متوسط التأمين)'!$E$17,-$C$13,0)," ")</f>
        <v>-4074.941231953012</v>
      </c>
      <c r="E43" s="6">
        <f>IFERROR(IPMT('مدخلات (متوسط التأمين)'!$E$18/12,B43,$C$6,'مدخلات (متوسط التأمين)'!$E$17,-$C$13,0)," ")</f>
        <v>-882.47531973026003</v>
      </c>
      <c r="F43" s="6">
        <f t="shared" si="9"/>
        <v>-100426.7905249699</v>
      </c>
      <c r="G43" s="6">
        <f t="shared" si="10"/>
        <v>-28466.039818795183</v>
      </c>
      <c r="H43" s="6">
        <f t="shared" si="4"/>
        <v>-4957.4165516832718</v>
      </c>
      <c r="I43" s="6">
        <f t="shared" si="5"/>
        <v>199573.2094750301</v>
      </c>
      <c r="J43" s="6" t="str">
        <f>IF(B43&lt;&gt;"",IF(AND('مدخلات (متوسط التأمين)'!$H$17="سنوي",MOD(B43,12)=0),'مدخلات (متوسط التأمين)'!$J$17,IF(AND('مدخلات (متوسط التأمين)'!$H$17="القسط (الدفعة) الاول",B43=1),'مدخلات (متوسط التأمين)'!$J$17,IF('مدخلات (متوسط التأمين)'!$H$17="شهري",'مدخلات (متوسط التأمين)'!$J$17,""))),"")</f>
        <v/>
      </c>
      <c r="K43" s="6" t="str">
        <f>IF(B43&lt;&gt;"",IF(AND('مدخلات (متوسط التأمين)'!$H$18="سنوي",MOD(B43,12)=0),'مدخلات (متوسط التأمين)'!$J$18,IF(AND('مدخلات (متوسط التأمين)'!$H$18="القسط (الدفعة) الاول",B43=1),'مدخلات (متوسط التأمين)'!$J$18,IF('مدخلات (متوسط التأمين)'!$H$18="شهري",'مدخلات (متوسط التأمين)'!$J$18,""))),"")</f>
        <v/>
      </c>
      <c r="L43" s="6">
        <f>IF(B43&lt;=$C$6,(IF(B43&lt;&gt;"",IF(AND('مدخلات (متوسط التأمين)'!$H$19="سنوي",MOD(B43,12)=0),'مدخلات (متوسط التأمين)'!$J$19,IF(AND('مدخلات (متوسط التأمين)'!$H$19="القسط (الدفعة) الاول",B43=1),'مدخلات (متوسط التأمين)'!$J$19,IF('مدخلات (متوسط التأمين)'!$H$19="شهري",'مدخلات (متوسط التأمين)'!$J$19,""))),""))," ")</f>
        <v>552</v>
      </c>
      <c r="M43" s="6">
        <f>IF(B43&lt;&gt;"",IF(AND('مدخلات (متوسط التأمين)'!$H$20="سنوي",MOD(B43,12)=0),'مدخلات (متوسط التأمين)'!$J$20,IF(AND('مدخلات (متوسط التأمين)'!$H$20="القسط (الدفعة) الاول",B43=1),'مدخلات (متوسط التأمين)'!$J$20,IF('مدخلات (متوسط التأمين)'!$H$20="شهري",'مدخلات (متوسط التأمين)'!$J$20,IF(AND('مدخلات (متوسط التأمين)'!$H$20="End of the loan",B43='مدخلات (متوسط التأمين)'!$E$22),'مدخلات (متوسط التأمين)'!$J$20,"")))),"")</f>
        <v>0</v>
      </c>
      <c r="N43" s="6">
        <f t="shared" si="0"/>
        <v>552</v>
      </c>
      <c r="O43" s="4">
        <f t="shared" si="1"/>
        <v>5509.4165516832718</v>
      </c>
      <c r="S43" s="9">
        <f t="shared" si="2"/>
        <v>46078</v>
      </c>
      <c r="T43" s="5">
        <f t="shared" si="6"/>
        <v>5509.42</v>
      </c>
      <c r="V43" s="97"/>
      <c r="W43" s="89"/>
    </row>
    <row r="44" spans="1:23" x14ac:dyDescent="0.2">
      <c r="A44" s="1">
        <f t="shared" si="12"/>
        <v>3</v>
      </c>
      <c r="B44" s="16">
        <f t="shared" si="7"/>
        <v>27</v>
      </c>
      <c r="C44" s="9">
        <f t="shared" si="8"/>
        <v>46106</v>
      </c>
      <c r="D44" s="6">
        <f>IFERROR(PPMT('مدخلات (متوسط التأمين)'!$E$18/12,B44,$C$6,'مدخلات (متوسط التأمين)'!$E$17,-$C$13,0)," ")</f>
        <v>-4092.5993106248084</v>
      </c>
      <c r="E44" s="6">
        <f>IFERROR(IPMT('مدخلات (متوسط التأمين)'!$E$18/12,B44,$C$6,'مدخلات (متوسط التأمين)'!$E$17,-$C$13,0)," ")</f>
        <v>-864.81724105846365</v>
      </c>
      <c r="F44" s="6">
        <f t="shared" si="9"/>
        <v>-104519.3898355947</v>
      </c>
      <c r="G44" s="6">
        <f t="shared" si="10"/>
        <v>-29330.857059853646</v>
      </c>
      <c r="H44" s="6">
        <f t="shared" si="4"/>
        <v>-4957.4165516832718</v>
      </c>
      <c r="I44" s="6">
        <f t="shared" si="5"/>
        <v>195480.61016440531</v>
      </c>
      <c r="J44" s="6" t="str">
        <f>IF(B44&lt;&gt;"",IF(AND('مدخلات (متوسط التأمين)'!$H$17="سنوي",MOD(B44,12)=0),'مدخلات (متوسط التأمين)'!$J$17,IF(AND('مدخلات (متوسط التأمين)'!$H$17="القسط (الدفعة) الاول",B44=1),'مدخلات (متوسط التأمين)'!$J$17,IF('مدخلات (متوسط التأمين)'!$H$17="شهري",'مدخلات (متوسط التأمين)'!$J$17,""))),"")</f>
        <v/>
      </c>
      <c r="K44" s="6" t="str">
        <f>IF(B44&lt;&gt;"",IF(AND('مدخلات (متوسط التأمين)'!$H$18="سنوي",MOD(B44,12)=0),'مدخلات (متوسط التأمين)'!$J$18,IF(AND('مدخلات (متوسط التأمين)'!$H$18="القسط (الدفعة) الاول",B44=1),'مدخلات (متوسط التأمين)'!$J$18,IF('مدخلات (متوسط التأمين)'!$H$18="شهري",'مدخلات (متوسط التأمين)'!$J$18,""))),"")</f>
        <v/>
      </c>
      <c r="L44" s="6">
        <f>IF(B44&lt;=$C$6,(IF(B44&lt;&gt;"",IF(AND('مدخلات (متوسط التأمين)'!$H$19="سنوي",MOD(B44,12)=0),'مدخلات (متوسط التأمين)'!$J$19,IF(AND('مدخلات (متوسط التأمين)'!$H$19="القسط (الدفعة) الاول",B44=1),'مدخلات (متوسط التأمين)'!$J$19,IF('مدخلات (متوسط التأمين)'!$H$19="شهري",'مدخلات (متوسط التأمين)'!$J$19,""))),""))," ")</f>
        <v>552</v>
      </c>
      <c r="M44" s="6">
        <f>IF(B44&lt;&gt;"",IF(AND('مدخلات (متوسط التأمين)'!$H$20="سنوي",MOD(B44,12)=0),'مدخلات (متوسط التأمين)'!$J$20,IF(AND('مدخلات (متوسط التأمين)'!$H$20="القسط (الدفعة) الاول",B44=1),'مدخلات (متوسط التأمين)'!$J$20,IF('مدخلات (متوسط التأمين)'!$H$20="شهري",'مدخلات (متوسط التأمين)'!$J$20,IF(AND('مدخلات (متوسط التأمين)'!$H$20="End of the loan",B44='مدخلات (متوسط التأمين)'!$E$22),'مدخلات (متوسط التأمين)'!$J$20,"")))),"")</f>
        <v>0</v>
      </c>
      <c r="N44" s="6">
        <f t="shared" si="0"/>
        <v>552</v>
      </c>
      <c r="O44" s="4">
        <f t="shared" si="1"/>
        <v>5509.4165516832718</v>
      </c>
      <c r="S44" s="9">
        <f t="shared" si="2"/>
        <v>46106</v>
      </c>
      <c r="T44" s="5">
        <f t="shared" si="6"/>
        <v>5509.42</v>
      </c>
      <c r="V44" s="97"/>
      <c r="W44" s="89"/>
    </row>
    <row r="45" spans="1:23" x14ac:dyDescent="0.2">
      <c r="A45" s="1">
        <f t="shared" si="12"/>
        <v>3</v>
      </c>
      <c r="B45" s="16">
        <f t="shared" si="7"/>
        <v>28</v>
      </c>
      <c r="C45" s="9">
        <f t="shared" si="8"/>
        <v>46137</v>
      </c>
      <c r="D45" s="6">
        <f>IFERROR(PPMT('مدخلات (متوسط التأمين)'!$E$18/12,B45,$C$6,'مدخلات (متوسط التأمين)'!$E$17,-$C$13,0)," ")</f>
        <v>-4110.333907637515</v>
      </c>
      <c r="E45" s="6">
        <f>IFERROR(IPMT('مدخلات (متوسط التأمين)'!$E$18/12,B45,$C$6,'مدخلات (متوسط التأمين)'!$E$17,-$C$13,0)," ")</f>
        <v>-847.08264404575607</v>
      </c>
      <c r="F45" s="6">
        <f t="shared" si="9"/>
        <v>-108629.72374323221</v>
      </c>
      <c r="G45" s="6">
        <f t="shared" si="10"/>
        <v>-30177.939703899403</v>
      </c>
      <c r="H45" s="6">
        <f t="shared" si="4"/>
        <v>-4957.4165516832709</v>
      </c>
      <c r="I45" s="6">
        <f t="shared" si="5"/>
        <v>191370.2762567678</v>
      </c>
      <c r="J45" s="6" t="str">
        <f>IF(B45&lt;&gt;"",IF(AND('مدخلات (متوسط التأمين)'!$H$17="سنوي",MOD(B45,12)=0),'مدخلات (متوسط التأمين)'!$J$17,IF(AND('مدخلات (متوسط التأمين)'!$H$17="القسط (الدفعة) الاول",B45=1),'مدخلات (متوسط التأمين)'!$J$17,IF('مدخلات (متوسط التأمين)'!$H$17="شهري",'مدخلات (متوسط التأمين)'!$J$17,""))),"")</f>
        <v/>
      </c>
      <c r="K45" s="6" t="str">
        <f>IF(B45&lt;&gt;"",IF(AND('مدخلات (متوسط التأمين)'!$H$18="سنوي",MOD(B45,12)=0),'مدخلات (متوسط التأمين)'!$J$18,IF(AND('مدخلات (متوسط التأمين)'!$H$18="القسط (الدفعة) الاول",B45=1),'مدخلات (متوسط التأمين)'!$J$18,IF('مدخلات (متوسط التأمين)'!$H$18="شهري",'مدخلات (متوسط التأمين)'!$J$18,""))),"")</f>
        <v/>
      </c>
      <c r="L45" s="6">
        <f>IF(B45&lt;=$C$6,(IF(B45&lt;&gt;"",IF(AND('مدخلات (متوسط التأمين)'!$H$19="سنوي",MOD(B45,12)=0),'مدخلات (متوسط التأمين)'!$J$19,IF(AND('مدخلات (متوسط التأمين)'!$H$19="القسط (الدفعة) الاول",B45=1),'مدخلات (متوسط التأمين)'!$J$19,IF('مدخلات (متوسط التأمين)'!$H$19="شهري",'مدخلات (متوسط التأمين)'!$J$19,""))),""))," ")</f>
        <v>552</v>
      </c>
      <c r="M45" s="6">
        <f>IF(B45&lt;&gt;"",IF(AND('مدخلات (متوسط التأمين)'!$H$20="سنوي",MOD(B45,12)=0),'مدخلات (متوسط التأمين)'!$J$20,IF(AND('مدخلات (متوسط التأمين)'!$H$20="القسط (الدفعة) الاول",B45=1),'مدخلات (متوسط التأمين)'!$J$20,IF('مدخلات (متوسط التأمين)'!$H$20="شهري",'مدخلات (متوسط التأمين)'!$J$20,IF(AND('مدخلات (متوسط التأمين)'!$H$20="End of the loan",B45='مدخلات (متوسط التأمين)'!$E$22),'مدخلات (متوسط التأمين)'!$J$20,"")))),"")</f>
        <v>0</v>
      </c>
      <c r="N45" s="6">
        <f t="shared" si="0"/>
        <v>552</v>
      </c>
      <c r="O45" s="4">
        <f t="shared" si="1"/>
        <v>5509.4165516832709</v>
      </c>
      <c r="S45" s="9">
        <f t="shared" si="2"/>
        <v>46137</v>
      </c>
      <c r="T45" s="5">
        <f t="shared" si="6"/>
        <v>5509.42</v>
      </c>
      <c r="V45" s="97"/>
      <c r="W45" s="89"/>
    </row>
    <row r="46" spans="1:23" x14ac:dyDescent="0.2">
      <c r="A46" s="1">
        <f t="shared" si="12"/>
        <v>3</v>
      </c>
      <c r="B46" s="16">
        <f t="shared" si="7"/>
        <v>29</v>
      </c>
      <c r="C46" s="9">
        <f t="shared" si="8"/>
        <v>46167</v>
      </c>
      <c r="D46" s="6">
        <f>IFERROR(PPMT('مدخلات (متوسط التأمين)'!$E$18/12,B46,$C$6,'مدخلات (متوسط التأمين)'!$E$17,-$C$13,0)," ")</f>
        <v>-4128.1453545706117</v>
      </c>
      <c r="E46" s="6">
        <f>IFERROR(IPMT('مدخلات (متوسط التأمين)'!$E$18/12,B46,$C$6,'مدخلات (متوسط التأمين)'!$E$17,-$C$13,0)," ")</f>
        <v>-829.27119711266027</v>
      </c>
      <c r="F46" s="6">
        <f t="shared" si="9"/>
        <v>-112757.86909780283</v>
      </c>
      <c r="G46" s="6">
        <f t="shared" si="10"/>
        <v>-31007.210901012062</v>
      </c>
      <c r="H46" s="6">
        <f t="shared" si="4"/>
        <v>-4957.4165516832718</v>
      </c>
      <c r="I46" s="6">
        <f t="shared" si="5"/>
        <v>187242.13090219715</v>
      </c>
      <c r="J46" s="6" t="str">
        <f>IF(B46&lt;&gt;"",IF(AND('مدخلات (متوسط التأمين)'!$H$17="سنوي",MOD(B46,12)=0),'مدخلات (متوسط التأمين)'!$J$17,IF(AND('مدخلات (متوسط التأمين)'!$H$17="القسط (الدفعة) الاول",B46=1),'مدخلات (متوسط التأمين)'!$J$17,IF('مدخلات (متوسط التأمين)'!$H$17="شهري",'مدخلات (متوسط التأمين)'!$J$17,""))),"")</f>
        <v/>
      </c>
      <c r="K46" s="6" t="str">
        <f>IF(B46&lt;&gt;"",IF(AND('مدخلات (متوسط التأمين)'!$H$18="سنوي",MOD(B46,12)=0),'مدخلات (متوسط التأمين)'!$J$18,IF(AND('مدخلات (متوسط التأمين)'!$H$18="القسط (الدفعة) الاول",B46=1),'مدخلات (متوسط التأمين)'!$J$18,IF('مدخلات (متوسط التأمين)'!$H$18="شهري",'مدخلات (متوسط التأمين)'!$J$18,""))),"")</f>
        <v/>
      </c>
      <c r="L46" s="6">
        <f>IF(B46&lt;=$C$6,(IF(B46&lt;&gt;"",IF(AND('مدخلات (متوسط التأمين)'!$H$19="سنوي",MOD(B46,12)=0),'مدخلات (متوسط التأمين)'!$J$19,IF(AND('مدخلات (متوسط التأمين)'!$H$19="القسط (الدفعة) الاول",B46=1),'مدخلات (متوسط التأمين)'!$J$19,IF('مدخلات (متوسط التأمين)'!$H$19="شهري",'مدخلات (متوسط التأمين)'!$J$19,""))),""))," ")</f>
        <v>552</v>
      </c>
      <c r="M46" s="6">
        <f>IF(B46&lt;&gt;"",IF(AND('مدخلات (متوسط التأمين)'!$H$20="سنوي",MOD(B46,12)=0),'مدخلات (متوسط التأمين)'!$J$20,IF(AND('مدخلات (متوسط التأمين)'!$H$20="القسط (الدفعة) الاول",B46=1),'مدخلات (متوسط التأمين)'!$J$20,IF('مدخلات (متوسط التأمين)'!$H$20="شهري",'مدخلات (متوسط التأمين)'!$J$20,IF(AND('مدخلات (متوسط التأمين)'!$H$20="End of the loan",B46='مدخلات (متوسط التأمين)'!$E$22),'مدخلات (متوسط التأمين)'!$J$20,"")))),"")</f>
        <v>0</v>
      </c>
      <c r="N46" s="6">
        <f t="shared" si="0"/>
        <v>552</v>
      </c>
      <c r="O46" s="4">
        <f t="shared" si="1"/>
        <v>5509.4165516832718</v>
      </c>
      <c r="S46" s="9">
        <f t="shared" si="2"/>
        <v>46167</v>
      </c>
      <c r="T46" s="5">
        <f t="shared" si="6"/>
        <v>5509.42</v>
      </c>
      <c r="V46" s="97"/>
      <c r="W46" s="89"/>
    </row>
    <row r="47" spans="1:23" x14ac:dyDescent="0.2">
      <c r="A47" s="1">
        <f t="shared" si="12"/>
        <v>3</v>
      </c>
      <c r="B47" s="16">
        <f t="shared" si="7"/>
        <v>30</v>
      </c>
      <c r="C47" s="9">
        <f t="shared" si="8"/>
        <v>46198</v>
      </c>
      <c r="D47" s="6">
        <f>IFERROR(PPMT('مدخلات (متوسط التأمين)'!$E$18/12,B47,$C$6,'مدخلات (متوسط التأمين)'!$E$17,-$C$13,0)," ")</f>
        <v>-4146.033984440417</v>
      </c>
      <c r="E47" s="6">
        <f>IFERROR(IPMT('مدخلات (متوسط التأمين)'!$E$18/12,B47,$C$6,'مدخلات (متوسط التأمين)'!$E$17,-$C$13,0)," ")</f>
        <v>-811.38256724285429</v>
      </c>
      <c r="F47" s="6">
        <f t="shared" si="9"/>
        <v>-116903.90308224325</v>
      </c>
      <c r="G47" s="6">
        <f t="shared" si="10"/>
        <v>-31818.593468254916</v>
      </c>
      <c r="H47" s="6">
        <f t="shared" si="4"/>
        <v>-4957.4165516832709</v>
      </c>
      <c r="I47" s="6">
        <f t="shared" si="5"/>
        <v>183096.09691775675</v>
      </c>
      <c r="J47" s="6" t="str">
        <f>IF(B47&lt;&gt;"",IF(AND('مدخلات (متوسط التأمين)'!$H$17="سنوي",MOD(B47,12)=0),'مدخلات (متوسط التأمين)'!$J$17,IF(AND('مدخلات (متوسط التأمين)'!$H$17="القسط (الدفعة) الاول",B47=1),'مدخلات (متوسط التأمين)'!$J$17,IF('مدخلات (متوسط التأمين)'!$H$17="شهري",'مدخلات (متوسط التأمين)'!$J$17,""))),"")</f>
        <v/>
      </c>
      <c r="K47" s="6" t="str">
        <f>IF(B47&lt;&gt;"",IF(AND('مدخلات (متوسط التأمين)'!$H$18="سنوي",MOD(B47,12)=0),'مدخلات (متوسط التأمين)'!$J$18,IF(AND('مدخلات (متوسط التأمين)'!$H$18="القسط (الدفعة) الاول",B47=1),'مدخلات (متوسط التأمين)'!$J$18,IF('مدخلات (متوسط التأمين)'!$H$18="شهري",'مدخلات (متوسط التأمين)'!$J$18,""))),"")</f>
        <v/>
      </c>
      <c r="L47" s="6">
        <f>IF(B47&lt;=$C$6,(IF(B47&lt;&gt;"",IF(AND('مدخلات (متوسط التأمين)'!$H$19="سنوي",MOD(B47,12)=0),'مدخلات (متوسط التأمين)'!$J$19,IF(AND('مدخلات (متوسط التأمين)'!$H$19="القسط (الدفعة) الاول",B47=1),'مدخلات (متوسط التأمين)'!$J$19,IF('مدخلات (متوسط التأمين)'!$H$19="شهري",'مدخلات (متوسط التأمين)'!$J$19,""))),""))," ")</f>
        <v>552</v>
      </c>
      <c r="M47" s="6">
        <f>IF(B47&lt;&gt;"",IF(AND('مدخلات (متوسط التأمين)'!$H$20="سنوي",MOD(B47,12)=0),'مدخلات (متوسط التأمين)'!$J$20,IF(AND('مدخلات (متوسط التأمين)'!$H$20="القسط (الدفعة) الاول",B47=1),'مدخلات (متوسط التأمين)'!$J$20,IF('مدخلات (متوسط التأمين)'!$H$20="شهري",'مدخلات (متوسط التأمين)'!$J$20,IF(AND('مدخلات (متوسط التأمين)'!$H$20="End of the loan",B47='مدخلات (متوسط التأمين)'!$E$22),'مدخلات (متوسط التأمين)'!$J$20,"")))),"")</f>
        <v>0</v>
      </c>
      <c r="N47" s="6">
        <f t="shared" si="0"/>
        <v>552</v>
      </c>
      <c r="O47" s="4">
        <f t="shared" si="1"/>
        <v>5509.4165516832709</v>
      </c>
      <c r="S47" s="9">
        <f t="shared" si="2"/>
        <v>46198</v>
      </c>
      <c r="T47" s="5">
        <f t="shared" si="6"/>
        <v>5509.42</v>
      </c>
      <c r="V47" s="97"/>
      <c r="W47" s="89"/>
    </row>
    <row r="48" spans="1:23" x14ac:dyDescent="0.2">
      <c r="A48" s="1">
        <f t="shared" si="12"/>
        <v>3</v>
      </c>
      <c r="B48" s="16">
        <f t="shared" si="7"/>
        <v>31</v>
      </c>
      <c r="C48" s="9">
        <f t="shared" si="8"/>
        <v>46228</v>
      </c>
      <c r="D48" s="6">
        <f>IFERROR(PPMT('مدخلات (متوسط التأمين)'!$E$18/12,B48,$C$6,'مدخلات (متوسط التأمين)'!$E$17,-$C$13,0)," ")</f>
        <v>-4164.0001317063261</v>
      </c>
      <c r="E48" s="6">
        <f>IFERROR(IPMT('مدخلات (متوسط التأمين)'!$E$18/12,B48,$C$6,'مدخلات (متوسط التأمين)'!$E$17,-$C$13,0)," ")</f>
        <v>-793.41641997694569</v>
      </c>
      <c r="F48" s="6">
        <f t="shared" si="9"/>
        <v>-121067.90321394958</v>
      </c>
      <c r="G48" s="6">
        <f t="shared" si="10"/>
        <v>-32612.009888231863</v>
      </c>
      <c r="H48" s="6">
        <f t="shared" si="4"/>
        <v>-4957.4165516832718</v>
      </c>
      <c r="I48" s="6">
        <f t="shared" si="5"/>
        <v>178932.09678605042</v>
      </c>
      <c r="J48" s="6" t="str">
        <f>IF(B48&lt;&gt;"",IF(AND('مدخلات (متوسط التأمين)'!$H$17="سنوي",MOD(B48,12)=0),'مدخلات (متوسط التأمين)'!$J$17,IF(AND('مدخلات (متوسط التأمين)'!$H$17="القسط (الدفعة) الاول",B48=1),'مدخلات (متوسط التأمين)'!$J$17,IF('مدخلات (متوسط التأمين)'!$H$17="شهري",'مدخلات (متوسط التأمين)'!$J$17,""))),"")</f>
        <v/>
      </c>
      <c r="K48" s="6" t="str">
        <f>IF(B48&lt;&gt;"",IF(AND('مدخلات (متوسط التأمين)'!$H$18="سنوي",MOD(B48,12)=0),'مدخلات (متوسط التأمين)'!$J$18,IF(AND('مدخلات (متوسط التأمين)'!$H$18="القسط (الدفعة) الاول",B48=1),'مدخلات (متوسط التأمين)'!$J$18,IF('مدخلات (متوسط التأمين)'!$H$18="شهري",'مدخلات (متوسط التأمين)'!$J$18,""))),"")</f>
        <v/>
      </c>
      <c r="L48" s="6">
        <f>IF(B48&lt;=$C$6,(IF(B48&lt;&gt;"",IF(AND('مدخلات (متوسط التأمين)'!$H$19="سنوي",MOD(B48,12)=0),'مدخلات (متوسط التأمين)'!$J$19,IF(AND('مدخلات (متوسط التأمين)'!$H$19="القسط (الدفعة) الاول",B48=1),'مدخلات (متوسط التأمين)'!$J$19,IF('مدخلات (متوسط التأمين)'!$H$19="شهري",'مدخلات (متوسط التأمين)'!$J$19,""))),""))," ")</f>
        <v>552</v>
      </c>
      <c r="M48" s="6">
        <f>IF(B48&lt;&gt;"",IF(AND('مدخلات (متوسط التأمين)'!$H$20="سنوي",MOD(B48,12)=0),'مدخلات (متوسط التأمين)'!$J$20,IF(AND('مدخلات (متوسط التأمين)'!$H$20="القسط (الدفعة) الاول",B48=1),'مدخلات (متوسط التأمين)'!$J$20,IF('مدخلات (متوسط التأمين)'!$H$20="شهري",'مدخلات (متوسط التأمين)'!$J$20,IF(AND('مدخلات (متوسط التأمين)'!$H$20="End of the loan",B48='مدخلات (متوسط التأمين)'!$E$22),'مدخلات (متوسط التأمين)'!$J$20,"")))),"")</f>
        <v>0</v>
      </c>
      <c r="N48" s="6">
        <f t="shared" si="0"/>
        <v>552</v>
      </c>
      <c r="O48" s="4">
        <f t="shared" si="1"/>
        <v>5509.4165516832718</v>
      </c>
      <c r="S48" s="9">
        <f t="shared" si="2"/>
        <v>46228</v>
      </c>
      <c r="T48" s="5">
        <f t="shared" si="6"/>
        <v>5509.42</v>
      </c>
      <c r="V48" s="97"/>
    </row>
    <row r="49" spans="1:22" x14ac:dyDescent="0.2">
      <c r="A49" s="1">
        <f t="shared" si="12"/>
        <v>3</v>
      </c>
      <c r="B49" s="16">
        <f t="shared" si="7"/>
        <v>32</v>
      </c>
      <c r="C49" s="9">
        <f t="shared" si="8"/>
        <v>46259</v>
      </c>
      <c r="D49" s="6">
        <f>IFERROR(PPMT('مدخلات (متوسط التأمين)'!$E$18/12,B49,$C$6,'مدخلات (متوسط التأمين)'!$E$17,-$C$13,0)," ")</f>
        <v>-4182.044132277053</v>
      </c>
      <c r="E49" s="6">
        <f>IFERROR(IPMT('مدخلات (متوسط التأمين)'!$E$18/12,B49,$C$6,'مدخلات (متوسط التأمين)'!$E$17,-$C$13,0)," ")</f>
        <v>-775.37241940621846</v>
      </c>
      <c r="F49" s="6">
        <f t="shared" si="9"/>
        <v>-125249.94734622663</v>
      </c>
      <c r="G49" s="6">
        <f t="shared" si="10"/>
        <v>-33387.38230763808</v>
      </c>
      <c r="H49" s="6">
        <f t="shared" si="4"/>
        <v>-4957.4165516832718</v>
      </c>
      <c r="I49" s="6">
        <f t="shared" si="5"/>
        <v>174750.05265377337</v>
      </c>
      <c r="J49" s="6" t="str">
        <f>IF(B49&lt;&gt;"",IF(AND('مدخلات (متوسط التأمين)'!$H$17="سنوي",MOD(B49,12)=0),'مدخلات (متوسط التأمين)'!$J$17,IF(AND('مدخلات (متوسط التأمين)'!$H$17="القسط (الدفعة) الاول",B49=1),'مدخلات (متوسط التأمين)'!$J$17,IF('مدخلات (متوسط التأمين)'!$H$17="شهري",'مدخلات (متوسط التأمين)'!$J$17,""))),"")</f>
        <v/>
      </c>
      <c r="K49" s="6" t="str">
        <f>IF(B49&lt;&gt;"",IF(AND('مدخلات (متوسط التأمين)'!$H$18="سنوي",MOD(B49,12)=0),'مدخلات (متوسط التأمين)'!$J$18,IF(AND('مدخلات (متوسط التأمين)'!$H$18="القسط (الدفعة) الاول",B49=1),'مدخلات (متوسط التأمين)'!$J$18,IF('مدخلات (متوسط التأمين)'!$H$18="شهري",'مدخلات (متوسط التأمين)'!$J$18,""))),"")</f>
        <v/>
      </c>
      <c r="L49" s="6">
        <f>IF(B49&lt;=$C$6,(IF(B49&lt;&gt;"",IF(AND('مدخلات (متوسط التأمين)'!$H$19="سنوي",MOD(B49,12)=0),'مدخلات (متوسط التأمين)'!$J$19,IF(AND('مدخلات (متوسط التأمين)'!$H$19="القسط (الدفعة) الاول",B49=1),'مدخلات (متوسط التأمين)'!$J$19,IF('مدخلات (متوسط التأمين)'!$H$19="شهري",'مدخلات (متوسط التأمين)'!$J$19,""))),""))," ")</f>
        <v>552</v>
      </c>
      <c r="M49" s="6">
        <f>IF(B49&lt;&gt;"",IF(AND('مدخلات (متوسط التأمين)'!$H$20="سنوي",MOD(B49,12)=0),'مدخلات (متوسط التأمين)'!$J$20,IF(AND('مدخلات (متوسط التأمين)'!$H$20="القسط (الدفعة) الاول",B49=1),'مدخلات (متوسط التأمين)'!$J$20,IF('مدخلات (متوسط التأمين)'!$H$20="شهري",'مدخلات (متوسط التأمين)'!$J$20,IF(AND('مدخلات (متوسط التأمين)'!$H$20="End of the loan",B49='مدخلات (متوسط التأمين)'!$E$22),'مدخلات (متوسط التأمين)'!$J$20,"")))),"")</f>
        <v>0</v>
      </c>
      <c r="N49" s="6">
        <f t="shared" ref="N49:N77" si="13">IF(B49&lt;&gt;"",SUM(J49:M49),"")</f>
        <v>552</v>
      </c>
      <c r="O49" s="4">
        <f t="shared" si="1"/>
        <v>5509.4165516832718</v>
      </c>
      <c r="S49" s="9">
        <f t="shared" si="2"/>
        <v>46259</v>
      </c>
      <c r="T49" s="5">
        <f t="shared" si="6"/>
        <v>5509.42</v>
      </c>
      <c r="V49" s="97"/>
    </row>
    <row r="50" spans="1:22" x14ac:dyDescent="0.2">
      <c r="A50" s="1">
        <f t="shared" si="12"/>
        <v>3</v>
      </c>
      <c r="B50" s="16">
        <f t="shared" si="7"/>
        <v>33</v>
      </c>
      <c r="C50" s="9">
        <f t="shared" si="8"/>
        <v>46290</v>
      </c>
      <c r="D50" s="6">
        <f>IFERROR(PPMT('مدخلات (متوسط التأمين)'!$E$18/12,B50,$C$6,'مدخلات (متوسط التأمين)'!$E$17,-$C$13,0)," ")</f>
        <v>-4200.1663235169208</v>
      </c>
      <c r="E50" s="6">
        <f>IFERROR(IPMT('مدخلات (متوسط التأمين)'!$E$18/12,B50,$C$6,'مدخلات (متوسط التأمين)'!$E$17,-$C$13,0)," ")</f>
        <v>-757.25022816635112</v>
      </c>
      <c r="F50" s="6">
        <f t="shared" si="9"/>
        <v>-129450.11366974356</v>
      </c>
      <c r="G50" s="6">
        <f t="shared" si="10"/>
        <v>-34144.632535804434</v>
      </c>
      <c r="H50" s="6">
        <f t="shared" si="4"/>
        <v>-4957.4165516832718</v>
      </c>
      <c r="I50" s="6">
        <f t="shared" si="5"/>
        <v>170549.88633025644</v>
      </c>
      <c r="J50" s="6" t="str">
        <f>IF(B50&lt;&gt;"",IF(AND('مدخلات (متوسط التأمين)'!$H$17="سنوي",MOD(B50,12)=0),'مدخلات (متوسط التأمين)'!$J$17,IF(AND('مدخلات (متوسط التأمين)'!$H$17="القسط (الدفعة) الاول",B50=1),'مدخلات (متوسط التأمين)'!$J$17,IF('مدخلات (متوسط التأمين)'!$H$17="شهري",'مدخلات (متوسط التأمين)'!$J$17,""))),"")</f>
        <v/>
      </c>
      <c r="K50" s="6" t="str">
        <f>IF(B50&lt;&gt;"",IF(AND('مدخلات (متوسط التأمين)'!$H$18="سنوي",MOD(B50,12)=0),'مدخلات (متوسط التأمين)'!$J$18,IF(AND('مدخلات (متوسط التأمين)'!$H$18="القسط (الدفعة) الاول",B50=1),'مدخلات (متوسط التأمين)'!$J$18,IF('مدخلات (متوسط التأمين)'!$H$18="شهري",'مدخلات (متوسط التأمين)'!$J$18,""))),"")</f>
        <v/>
      </c>
      <c r="L50" s="6">
        <f>IF(B50&lt;=$C$6,(IF(B50&lt;&gt;"",IF(AND('مدخلات (متوسط التأمين)'!$H$19="سنوي",MOD(B50,12)=0),'مدخلات (متوسط التأمين)'!$J$19,IF(AND('مدخلات (متوسط التأمين)'!$H$19="القسط (الدفعة) الاول",B50=1),'مدخلات (متوسط التأمين)'!$J$19,IF('مدخلات (متوسط التأمين)'!$H$19="شهري",'مدخلات (متوسط التأمين)'!$J$19,""))),""))," ")</f>
        <v>552</v>
      </c>
      <c r="M50" s="6">
        <f>IF(B50&lt;&gt;"",IF(AND('مدخلات (متوسط التأمين)'!$H$20="سنوي",MOD(B50,12)=0),'مدخلات (متوسط التأمين)'!$J$20,IF(AND('مدخلات (متوسط التأمين)'!$H$20="القسط (الدفعة) الاول",B50=1),'مدخلات (متوسط التأمين)'!$J$20,IF('مدخلات (متوسط التأمين)'!$H$20="شهري",'مدخلات (متوسط التأمين)'!$J$20,IF(AND('مدخلات (متوسط التأمين)'!$H$20="End of the loan",B50='مدخلات (متوسط التأمين)'!$E$22),'مدخلات (متوسط التأمين)'!$J$20,"")))),"")</f>
        <v>0</v>
      </c>
      <c r="N50" s="6">
        <f t="shared" si="13"/>
        <v>552</v>
      </c>
      <c r="O50" s="4">
        <f t="shared" si="1"/>
        <v>5509.4165516832718</v>
      </c>
      <c r="S50" s="9">
        <f t="shared" si="2"/>
        <v>46290</v>
      </c>
      <c r="T50" s="5">
        <f t="shared" si="6"/>
        <v>5509.42</v>
      </c>
      <c r="V50" s="97"/>
    </row>
    <row r="51" spans="1:22" x14ac:dyDescent="0.2">
      <c r="A51" s="1">
        <f t="shared" si="12"/>
        <v>3</v>
      </c>
      <c r="B51" s="16">
        <f t="shared" si="7"/>
        <v>34</v>
      </c>
      <c r="C51" s="9">
        <f t="shared" si="8"/>
        <v>46320</v>
      </c>
      <c r="D51" s="6">
        <f>IFERROR(PPMT('مدخلات (متوسط التأمين)'!$E$18/12,B51,$C$6,'مدخلات (متوسط التأمين)'!$E$17,-$C$13,0)," ")</f>
        <v>-4218.3670442521607</v>
      </c>
      <c r="E51" s="6">
        <f>IFERROR(IPMT('مدخلات (متوسط التأمين)'!$E$18/12,B51,$C$6,'مدخلات (متوسط التأمين)'!$E$17,-$C$13,0)," ")</f>
        <v>-739.04950743111112</v>
      </c>
      <c r="F51" s="6">
        <f t="shared" si="9"/>
        <v>-133668.48071399573</v>
      </c>
      <c r="G51" s="6">
        <f t="shared" si="10"/>
        <v>-34883.682043235545</v>
      </c>
      <c r="H51" s="6">
        <f t="shared" si="4"/>
        <v>-4957.4165516832718</v>
      </c>
      <c r="I51" s="6">
        <f t="shared" si="5"/>
        <v>166331.51928600427</v>
      </c>
      <c r="J51" s="6" t="str">
        <f>IF(B51&lt;&gt;"",IF(AND('مدخلات (متوسط التأمين)'!$H$17="سنوي",MOD(B51,12)=0),'مدخلات (متوسط التأمين)'!$J$17,IF(AND('مدخلات (متوسط التأمين)'!$H$17="القسط (الدفعة) الاول",B51=1),'مدخلات (متوسط التأمين)'!$J$17,IF('مدخلات (متوسط التأمين)'!$H$17="شهري",'مدخلات (متوسط التأمين)'!$J$17,""))),"")</f>
        <v/>
      </c>
      <c r="K51" s="6" t="str">
        <f>IF(B51&lt;&gt;"",IF(AND('مدخلات (متوسط التأمين)'!$H$18="سنوي",MOD(B51,12)=0),'مدخلات (متوسط التأمين)'!$J$18,IF(AND('مدخلات (متوسط التأمين)'!$H$18="القسط (الدفعة) الاول",B51=1),'مدخلات (متوسط التأمين)'!$J$18,IF('مدخلات (متوسط التأمين)'!$H$18="شهري",'مدخلات (متوسط التأمين)'!$J$18,""))),"")</f>
        <v/>
      </c>
      <c r="L51" s="6">
        <f>IF(B51&lt;=$C$6,(IF(B51&lt;&gt;"",IF(AND('مدخلات (متوسط التأمين)'!$H$19="سنوي",MOD(B51,12)=0),'مدخلات (متوسط التأمين)'!$J$19,IF(AND('مدخلات (متوسط التأمين)'!$H$19="القسط (الدفعة) الاول",B51=1),'مدخلات (متوسط التأمين)'!$J$19,IF('مدخلات (متوسط التأمين)'!$H$19="شهري",'مدخلات (متوسط التأمين)'!$J$19,""))),""))," ")</f>
        <v>552</v>
      </c>
      <c r="M51" s="6">
        <f>IF(B51&lt;&gt;"",IF(AND('مدخلات (متوسط التأمين)'!$H$20="سنوي",MOD(B51,12)=0),'مدخلات (متوسط التأمين)'!$J$20,IF(AND('مدخلات (متوسط التأمين)'!$H$20="القسط (الدفعة) الاول",B51=1),'مدخلات (متوسط التأمين)'!$J$20,IF('مدخلات (متوسط التأمين)'!$H$20="شهري",'مدخلات (متوسط التأمين)'!$J$20,IF(AND('مدخلات (متوسط التأمين)'!$H$20="End of the loan",B51='مدخلات (متوسط التأمين)'!$E$22),'مدخلات (متوسط التأمين)'!$J$20,"")))),"")</f>
        <v>0</v>
      </c>
      <c r="N51" s="6">
        <f t="shared" si="13"/>
        <v>552</v>
      </c>
      <c r="O51" s="4">
        <f t="shared" si="1"/>
        <v>5509.4165516832718</v>
      </c>
      <c r="S51" s="9">
        <f t="shared" si="2"/>
        <v>46320</v>
      </c>
      <c r="T51" s="5">
        <f t="shared" si="6"/>
        <v>5509.42</v>
      </c>
      <c r="V51" s="97"/>
    </row>
    <row r="52" spans="1:22" x14ac:dyDescent="0.2">
      <c r="A52" s="1">
        <f t="shared" si="12"/>
        <v>3</v>
      </c>
      <c r="B52" s="16">
        <f t="shared" si="7"/>
        <v>35</v>
      </c>
      <c r="C52" s="9">
        <f t="shared" si="8"/>
        <v>46351</v>
      </c>
      <c r="D52" s="6">
        <f>IFERROR(PPMT('مدخلات (متوسط التأمين)'!$E$18/12,B52,$C$6,'مدخلات (متوسط التأمين)'!$E$17,-$C$13,0)," ")</f>
        <v>-4236.646634777253</v>
      </c>
      <c r="E52" s="6">
        <f>IFERROR(IPMT('مدخلات (متوسط التأمين)'!$E$18/12,B52,$C$6,'مدخلات (متوسط التأمين)'!$E$17,-$C$13,0)," ")</f>
        <v>-720.76991690601847</v>
      </c>
      <c r="F52" s="6">
        <f t="shared" si="9"/>
        <v>-137905.12734877298</v>
      </c>
      <c r="G52" s="6">
        <f t="shared" si="10"/>
        <v>-35604.451960141567</v>
      </c>
      <c r="H52" s="6">
        <f t="shared" si="4"/>
        <v>-4957.4165516832718</v>
      </c>
      <c r="I52" s="6">
        <f t="shared" si="5"/>
        <v>162094.87265122702</v>
      </c>
      <c r="J52" s="6" t="str">
        <f>IF(B52&lt;&gt;"",IF(AND('مدخلات (متوسط التأمين)'!$H$17="سنوي",MOD(B52,12)=0),'مدخلات (متوسط التأمين)'!$J$17,IF(AND('مدخلات (متوسط التأمين)'!$H$17="القسط (الدفعة) الاول",B52=1),'مدخلات (متوسط التأمين)'!$J$17,IF('مدخلات (متوسط التأمين)'!$H$17="شهري",'مدخلات (متوسط التأمين)'!$J$17,""))),"")</f>
        <v/>
      </c>
      <c r="K52" s="6" t="str">
        <f>IF(B52&lt;&gt;"",IF(AND('مدخلات (متوسط التأمين)'!$H$18="سنوي",MOD(B52,12)=0),'مدخلات (متوسط التأمين)'!$J$18,IF(AND('مدخلات (متوسط التأمين)'!$H$18="القسط (الدفعة) الاول",B52=1),'مدخلات (متوسط التأمين)'!$J$18,IF('مدخلات (متوسط التأمين)'!$H$18="شهري",'مدخلات (متوسط التأمين)'!$J$18,""))),"")</f>
        <v/>
      </c>
      <c r="L52" s="6">
        <f>IF(B52&lt;=$C$6,(IF(B52&lt;&gt;"",IF(AND('مدخلات (متوسط التأمين)'!$H$19="سنوي",MOD(B52,12)=0),'مدخلات (متوسط التأمين)'!$J$19,IF(AND('مدخلات (متوسط التأمين)'!$H$19="القسط (الدفعة) الاول",B52=1),'مدخلات (متوسط التأمين)'!$J$19,IF('مدخلات (متوسط التأمين)'!$H$19="شهري",'مدخلات (متوسط التأمين)'!$J$19,""))),""))," ")</f>
        <v>552</v>
      </c>
      <c r="M52" s="6">
        <f>IF(B52&lt;&gt;"",IF(AND('مدخلات (متوسط التأمين)'!$H$20="سنوي",MOD(B52,12)=0),'مدخلات (متوسط التأمين)'!$J$20,IF(AND('مدخلات (متوسط التأمين)'!$H$20="القسط (الدفعة) الاول",B52=1),'مدخلات (متوسط التأمين)'!$J$20,IF('مدخلات (متوسط التأمين)'!$H$20="شهري",'مدخلات (متوسط التأمين)'!$J$20,IF(AND('مدخلات (متوسط التأمين)'!$H$20="End of the loan",B52='مدخلات (متوسط التأمين)'!$E$22),'مدخلات (متوسط التأمين)'!$J$20,"")))),"")</f>
        <v>0</v>
      </c>
      <c r="N52" s="6">
        <f t="shared" si="13"/>
        <v>552</v>
      </c>
      <c r="O52" s="4">
        <f t="shared" si="1"/>
        <v>5509.4165516832718</v>
      </c>
      <c r="S52" s="9">
        <f t="shared" si="2"/>
        <v>46351</v>
      </c>
      <c r="T52" s="5">
        <f t="shared" si="6"/>
        <v>5509.42</v>
      </c>
      <c r="V52" s="97"/>
    </row>
    <row r="53" spans="1:22" x14ac:dyDescent="0.2">
      <c r="A53" s="1">
        <f t="shared" si="12"/>
        <v>3</v>
      </c>
      <c r="B53" s="16">
        <f t="shared" si="7"/>
        <v>36</v>
      </c>
      <c r="C53" s="9">
        <f t="shared" si="8"/>
        <v>46381</v>
      </c>
      <c r="D53" s="6">
        <f>IFERROR(PPMT('مدخلات (متوسط التأمين)'!$E$18/12,B53,$C$6,'مدخلات (متوسط التأمين)'!$E$17,-$C$13,0)," ")</f>
        <v>-4255.0054368612882</v>
      </c>
      <c r="E53" s="6">
        <f>IFERROR(IPMT('مدخلات (متوسط التأمين)'!$E$18/12,B53,$C$6,'مدخلات (متوسط التأمين)'!$E$17,-$C$13,0)," ")</f>
        <v>-702.41111482198369</v>
      </c>
      <c r="F53" s="6">
        <f t="shared" si="9"/>
        <v>-142160.13278563425</v>
      </c>
      <c r="G53" s="6">
        <f t="shared" si="10"/>
        <v>-36306.863074963549</v>
      </c>
      <c r="H53" s="6">
        <f t="shared" si="4"/>
        <v>-4957.4165516832718</v>
      </c>
      <c r="I53" s="6">
        <f t="shared" si="5"/>
        <v>157839.86721436575</v>
      </c>
      <c r="J53" s="6" t="str">
        <f>IF(B53&lt;&gt;"",IF(AND('مدخلات (متوسط التأمين)'!$H$17="سنوي",MOD(B53,12)=0),'مدخلات (متوسط التأمين)'!$J$17,IF(AND('مدخلات (متوسط التأمين)'!$H$17="القسط (الدفعة) الاول",B53=1),'مدخلات (متوسط التأمين)'!$J$17,IF('مدخلات (متوسط التأمين)'!$H$17="شهري",'مدخلات (متوسط التأمين)'!$J$17,""))),"")</f>
        <v/>
      </c>
      <c r="K53" s="6">
        <f>IF(B53&lt;&gt;"",IF(AND('مدخلات (متوسط التأمين)'!$H$18="سنوي",MOD(B53,12)=0),'مدخلات (متوسط التأمين)'!$J$18,IF(AND('مدخلات (متوسط التأمين)'!$H$18="القسط (الدفعة) الاول",B53=1),'مدخلات (متوسط التأمين)'!$J$18,IF('مدخلات (متوسط التأمين)'!$H$18="شهري",'مدخلات (متوسط التأمين)'!$J$18,""))),"")</f>
        <v>0</v>
      </c>
      <c r="L53" s="6">
        <f>IF(B53&lt;=$C$6,(IF(B53&lt;&gt;"",IF(AND('مدخلات (متوسط التأمين)'!$H$19="سنوي",MOD(B53,12)=0),'مدخلات (متوسط التأمين)'!$J$19,IF(AND('مدخلات (متوسط التأمين)'!$H$19="القسط (الدفعة) الاول",B53=1),'مدخلات (متوسط التأمين)'!$J$19,IF('مدخلات (متوسط التأمين)'!$H$19="شهري",'مدخلات (متوسط التأمين)'!$J$19,""))),""))," ")</f>
        <v>552</v>
      </c>
      <c r="M53" s="6">
        <f>IF(B53&lt;&gt;"",IF(AND('مدخلات (متوسط التأمين)'!$H$20="سنوي",MOD(B53,12)=0),'مدخلات (متوسط التأمين)'!$J$20,IF(AND('مدخلات (متوسط التأمين)'!$H$20="القسط (الدفعة) الاول",B53=1),'مدخلات (متوسط التأمين)'!$J$20,IF('مدخلات (متوسط التأمين)'!$H$20="شهري",'مدخلات (متوسط التأمين)'!$J$20,IF(AND('مدخلات (متوسط التأمين)'!$H$20="End of the loan",B53='مدخلات (متوسط التأمين)'!$E$22),'مدخلات (متوسط التأمين)'!$J$20,"")))),"")</f>
        <v>0</v>
      </c>
      <c r="N53" s="6">
        <f t="shared" si="13"/>
        <v>552</v>
      </c>
      <c r="O53" s="4">
        <f t="shared" si="1"/>
        <v>5509.4165516832718</v>
      </c>
      <c r="S53" s="9">
        <f t="shared" si="2"/>
        <v>46381</v>
      </c>
      <c r="T53" s="5">
        <f t="shared" si="6"/>
        <v>5509.42</v>
      </c>
      <c r="V53" s="97"/>
    </row>
    <row r="54" spans="1:22" x14ac:dyDescent="0.2">
      <c r="A54" s="1">
        <f>IF(B54&lt;&gt;"",4,"")</f>
        <v>4</v>
      </c>
      <c r="B54" s="16">
        <f t="shared" si="7"/>
        <v>37</v>
      </c>
      <c r="C54" s="9">
        <f t="shared" si="8"/>
        <v>46412</v>
      </c>
      <c r="D54" s="6">
        <f>IFERROR(PPMT('مدخلات (متوسط التأمين)'!$E$18/12,B54,$C$6,'مدخلات (متوسط التأمين)'!$E$17,-$C$13,0)," ")</f>
        <v>-4273.4437937543535</v>
      </c>
      <c r="E54" s="6">
        <f>IFERROR(IPMT('مدخلات (متوسط التأمين)'!$E$18/12,B54,$C$6,'مدخلات (متوسط التأمين)'!$E$17,-$C$13,0)," ")</f>
        <v>-683.9727579289181</v>
      </c>
      <c r="F54" s="6">
        <f t="shared" si="9"/>
        <v>-146433.57657938861</v>
      </c>
      <c r="G54" s="6">
        <f t="shared" si="10"/>
        <v>-36990.835832892466</v>
      </c>
      <c r="H54" s="6">
        <f t="shared" si="4"/>
        <v>-4957.4165516832718</v>
      </c>
      <c r="I54" s="6">
        <f t="shared" si="5"/>
        <v>153566.42342061139</v>
      </c>
      <c r="J54" s="6" t="str">
        <f>IF(B54&lt;&gt;"",IF(AND('مدخلات (متوسط التأمين)'!$H$17="سنوي",MOD(B54,12)=0),'مدخلات (متوسط التأمين)'!$J$17,IF(AND('مدخلات (متوسط التأمين)'!$H$17="القسط (الدفعة) الاول",B54=1),'مدخلات (متوسط التأمين)'!$J$17,IF('مدخلات (متوسط التأمين)'!$H$17="شهري",'مدخلات (متوسط التأمين)'!$J$17,""))),"")</f>
        <v/>
      </c>
      <c r="K54" s="6" t="str">
        <f>IF(B54&lt;&gt;"",IF(AND('مدخلات (متوسط التأمين)'!$H$18="سنوي",MOD(B54,12)=0),'مدخلات (متوسط التأمين)'!$J$18,IF(AND('مدخلات (متوسط التأمين)'!$H$18="القسط (الدفعة) الاول",B54=1),'مدخلات (متوسط التأمين)'!$J$18,IF('مدخلات (متوسط التأمين)'!$H$18="شهري",'مدخلات (متوسط التأمين)'!$J$18,""))),"")</f>
        <v/>
      </c>
      <c r="L54" s="6">
        <f>IF(B54&lt;=$C$6,(IF(B54&lt;&gt;"",IF(AND('مدخلات (متوسط التأمين)'!$H$19="سنوي",MOD(B54,12)=0),'مدخلات (متوسط التأمين)'!$J$19,IF(AND('مدخلات (متوسط التأمين)'!$H$19="القسط (الدفعة) الاول",B54=1),'مدخلات (متوسط التأمين)'!$J$19,IF('مدخلات (متوسط التأمين)'!$H$19="شهري",'مدخلات (متوسط التأمين)'!$J$19,""))),""))," ")</f>
        <v>552</v>
      </c>
      <c r="M54" s="6">
        <f>IF(B54&lt;&gt;"",IF(AND('مدخلات (متوسط التأمين)'!$H$20="سنوي",MOD(B54,12)=0),'مدخلات (متوسط التأمين)'!$J$20,IF(AND('مدخلات (متوسط التأمين)'!$H$20="القسط (الدفعة) الاول",B54=1),'مدخلات (متوسط التأمين)'!$J$20,IF('مدخلات (متوسط التأمين)'!$H$20="شهري",'مدخلات (متوسط التأمين)'!$J$20,IF(AND('مدخلات (متوسط التأمين)'!$H$20="End of the loan",B54='مدخلات (متوسط التأمين)'!$E$22),'مدخلات (متوسط التأمين)'!$J$20,"")))),"")</f>
        <v>0</v>
      </c>
      <c r="N54" s="6">
        <f t="shared" si="13"/>
        <v>552</v>
      </c>
      <c r="O54" s="4">
        <f t="shared" si="1"/>
        <v>5509.4165516832718</v>
      </c>
      <c r="S54" s="9">
        <f t="shared" si="2"/>
        <v>46412</v>
      </c>
      <c r="T54" s="5">
        <f t="shared" si="6"/>
        <v>5509.42</v>
      </c>
      <c r="V54" s="97"/>
    </row>
    <row r="55" spans="1:22" x14ac:dyDescent="0.2">
      <c r="A55" s="1">
        <f t="shared" ref="A55:A65" si="14">IF(B55&lt;&gt;"",4,"")</f>
        <v>4</v>
      </c>
      <c r="B55" s="16">
        <f t="shared" si="7"/>
        <v>38</v>
      </c>
      <c r="C55" s="9">
        <f t="shared" si="8"/>
        <v>46443</v>
      </c>
      <c r="D55" s="6">
        <f>IFERROR(PPMT('مدخلات (متوسط التأمين)'!$E$18/12,B55,$C$6,'مدخلات (متوسط التأمين)'!$E$17,-$C$13,0)," ")</f>
        <v>-4291.9620501939562</v>
      </c>
      <c r="E55" s="6">
        <f>IFERROR(IPMT('مدخلات (متوسط التأمين)'!$E$18/12,B55,$C$6,'مدخلات (متوسط التأمين)'!$E$17,-$C$13,0)," ")</f>
        <v>-665.45450148931582</v>
      </c>
      <c r="F55" s="6">
        <f t="shared" si="9"/>
        <v>-150725.53862958256</v>
      </c>
      <c r="G55" s="6">
        <f t="shared" si="10"/>
        <v>-37656.290334381782</v>
      </c>
      <c r="H55" s="6">
        <f t="shared" si="4"/>
        <v>-4957.4165516832718</v>
      </c>
      <c r="I55" s="6">
        <f t="shared" si="5"/>
        <v>149274.46137041744</v>
      </c>
      <c r="J55" s="6" t="str">
        <f>IF(B55&lt;&gt;"",IF(AND('مدخلات (متوسط التأمين)'!$H$17="سنوي",MOD(B55,12)=0),'مدخلات (متوسط التأمين)'!$J$17,IF(AND('مدخلات (متوسط التأمين)'!$H$17="القسط (الدفعة) الاول",B55=1),'مدخلات (متوسط التأمين)'!$J$17,IF('مدخلات (متوسط التأمين)'!$H$17="شهري",'مدخلات (متوسط التأمين)'!$J$17,""))),"")</f>
        <v/>
      </c>
      <c r="K55" s="6" t="str">
        <f>IF(B55&lt;&gt;"",IF(AND('مدخلات (متوسط التأمين)'!$H$18="سنوي",MOD(B55,12)=0),'مدخلات (متوسط التأمين)'!$J$18,IF(AND('مدخلات (متوسط التأمين)'!$H$18="القسط (الدفعة) الاول",B55=1),'مدخلات (متوسط التأمين)'!$J$18,IF('مدخلات (متوسط التأمين)'!$H$18="شهري",'مدخلات (متوسط التأمين)'!$J$18,""))),"")</f>
        <v/>
      </c>
      <c r="L55" s="6">
        <f>IF(B55&lt;=$C$6,(IF(B55&lt;&gt;"",IF(AND('مدخلات (متوسط التأمين)'!$H$19="سنوي",MOD(B55,12)=0),'مدخلات (متوسط التأمين)'!$J$19,IF(AND('مدخلات (متوسط التأمين)'!$H$19="القسط (الدفعة) الاول",B55=1),'مدخلات (متوسط التأمين)'!$J$19,IF('مدخلات (متوسط التأمين)'!$H$19="شهري",'مدخلات (متوسط التأمين)'!$J$19,""))),""))," ")</f>
        <v>552</v>
      </c>
      <c r="M55" s="6">
        <f>IF(B55&lt;&gt;"",IF(AND('مدخلات (متوسط التأمين)'!$H$20="سنوي",MOD(B55,12)=0),'مدخلات (متوسط التأمين)'!$J$20,IF(AND('مدخلات (متوسط التأمين)'!$H$20="القسط (الدفعة) الاول",B55=1),'مدخلات (متوسط التأمين)'!$J$20,IF('مدخلات (متوسط التأمين)'!$H$20="شهري",'مدخلات (متوسط التأمين)'!$J$20,IF(AND('مدخلات (متوسط التأمين)'!$H$20="End of the loan",B55='مدخلات (متوسط التأمين)'!$E$22),'مدخلات (متوسط التأمين)'!$J$20,"")))),"")</f>
        <v>0</v>
      </c>
      <c r="N55" s="6">
        <f t="shared" si="13"/>
        <v>552</v>
      </c>
      <c r="O55" s="4">
        <f t="shared" si="1"/>
        <v>5509.4165516832718</v>
      </c>
      <c r="S55" s="9">
        <f t="shared" si="2"/>
        <v>46443</v>
      </c>
      <c r="T55" s="5">
        <f t="shared" si="6"/>
        <v>5509.42</v>
      </c>
      <c r="V55" s="97"/>
    </row>
    <row r="56" spans="1:22" x14ac:dyDescent="0.2">
      <c r="A56" s="1">
        <f t="shared" si="14"/>
        <v>4</v>
      </c>
      <c r="B56" s="16">
        <f t="shared" si="7"/>
        <v>39</v>
      </c>
      <c r="C56" s="9">
        <f t="shared" si="8"/>
        <v>46471</v>
      </c>
      <c r="D56" s="6">
        <f>IFERROR(PPMT('مدخلات (متوسط التأمين)'!$E$18/12,B56,$C$6,'مدخلات (متوسط التأمين)'!$E$17,-$C$13,0)," ")</f>
        <v>-4310.5605524114635</v>
      </c>
      <c r="E56" s="6">
        <f>IFERROR(IPMT('مدخلات (متوسط التأمين)'!$E$18/12,B56,$C$6,'مدخلات (متوسط التأمين)'!$E$17,-$C$13,0)," ")</f>
        <v>-646.85599927180874</v>
      </c>
      <c r="F56" s="6">
        <f t="shared" si="9"/>
        <v>-155036.09918199401</v>
      </c>
      <c r="G56" s="6">
        <f t="shared" si="10"/>
        <v>-38303.146333653589</v>
      </c>
      <c r="H56" s="6">
        <f t="shared" si="4"/>
        <v>-4957.4165516832727</v>
      </c>
      <c r="I56" s="6">
        <f t="shared" si="5"/>
        <v>144963.90081800599</v>
      </c>
      <c r="J56" s="6" t="str">
        <f>IF(B56&lt;&gt;"",IF(AND('مدخلات (متوسط التأمين)'!$H$17="سنوي",MOD(B56,12)=0),'مدخلات (متوسط التأمين)'!$J$17,IF(AND('مدخلات (متوسط التأمين)'!$H$17="القسط (الدفعة) الاول",B56=1),'مدخلات (متوسط التأمين)'!$J$17,IF('مدخلات (متوسط التأمين)'!$H$17="شهري",'مدخلات (متوسط التأمين)'!$J$17,""))),"")</f>
        <v/>
      </c>
      <c r="K56" s="6" t="str">
        <f>IF(B56&lt;&gt;"",IF(AND('مدخلات (متوسط التأمين)'!$H$18="سنوي",MOD(B56,12)=0),'مدخلات (متوسط التأمين)'!$J$18,IF(AND('مدخلات (متوسط التأمين)'!$H$18="القسط (الدفعة) الاول",B56=1),'مدخلات (متوسط التأمين)'!$J$18,IF('مدخلات (متوسط التأمين)'!$H$18="شهري",'مدخلات (متوسط التأمين)'!$J$18,""))),"")</f>
        <v/>
      </c>
      <c r="L56" s="6">
        <f>IF(B56&lt;=$C$6,(IF(B56&lt;&gt;"",IF(AND('مدخلات (متوسط التأمين)'!$H$19="سنوي",MOD(B56,12)=0),'مدخلات (متوسط التأمين)'!$J$19,IF(AND('مدخلات (متوسط التأمين)'!$H$19="القسط (الدفعة) الاول",B56=1),'مدخلات (متوسط التأمين)'!$J$19,IF('مدخلات (متوسط التأمين)'!$H$19="شهري",'مدخلات (متوسط التأمين)'!$J$19,""))),""))," ")</f>
        <v>552</v>
      </c>
      <c r="M56" s="6">
        <f>IF(B56&lt;&gt;"",IF(AND('مدخلات (متوسط التأمين)'!$H$20="سنوي",MOD(B56,12)=0),'مدخلات (متوسط التأمين)'!$J$20,IF(AND('مدخلات (متوسط التأمين)'!$H$20="القسط (الدفعة) الاول",B56=1),'مدخلات (متوسط التأمين)'!$J$20,IF('مدخلات (متوسط التأمين)'!$H$20="شهري",'مدخلات (متوسط التأمين)'!$J$20,IF(AND('مدخلات (متوسط التأمين)'!$H$20="End of the loan",B56='مدخلات (متوسط التأمين)'!$E$22),'مدخلات (متوسط التأمين)'!$J$20,"")))),"")</f>
        <v>0</v>
      </c>
      <c r="N56" s="6">
        <f t="shared" si="13"/>
        <v>552</v>
      </c>
      <c r="O56" s="4">
        <f t="shared" si="1"/>
        <v>5509.4165516832727</v>
      </c>
      <c r="S56" s="9">
        <f t="shared" si="2"/>
        <v>46471</v>
      </c>
      <c r="T56" s="5">
        <f t="shared" si="6"/>
        <v>5509.42</v>
      </c>
      <c r="V56" s="97"/>
    </row>
    <row r="57" spans="1:22" x14ac:dyDescent="0.2">
      <c r="A57" s="1">
        <f t="shared" si="14"/>
        <v>4</v>
      </c>
      <c r="B57" s="16">
        <f t="shared" si="7"/>
        <v>40</v>
      </c>
      <c r="C57" s="9">
        <f t="shared" si="8"/>
        <v>46502</v>
      </c>
      <c r="D57" s="6">
        <f>IFERROR(PPMT('مدخلات (متوسط التأمين)'!$E$18/12,B57,$C$6,'مدخلات (متوسط التأمين)'!$E$17,-$C$13,0)," ")</f>
        <v>-4329.2396481385795</v>
      </c>
      <c r="E57" s="6">
        <f>IFERROR(IPMT('مدخلات (متوسط التأمين)'!$E$18/12,B57,$C$6,'مدخلات (متوسط التأمين)'!$E$17,-$C$13,0)," ")</f>
        <v>-628.17690354469244</v>
      </c>
      <c r="F57" s="6">
        <f t="shared" si="9"/>
        <v>-159365.33883013259</v>
      </c>
      <c r="G57" s="6">
        <f t="shared" si="10"/>
        <v>-38931.323237198281</v>
      </c>
      <c r="H57" s="6">
        <f t="shared" si="4"/>
        <v>-4957.4165516832718</v>
      </c>
      <c r="I57" s="6">
        <f t="shared" si="5"/>
        <v>140634.66116986741</v>
      </c>
      <c r="J57" s="6" t="str">
        <f>IF(B57&lt;&gt;"",IF(AND('مدخلات (متوسط التأمين)'!$H$17="سنوي",MOD(B57,12)=0),'مدخلات (متوسط التأمين)'!$J$17,IF(AND('مدخلات (متوسط التأمين)'!$H$17="القسط (الدفعة) الاول",B57=1),'مدخلات (متوسط التأمين)'!$J$17,IF('مدخلات (متوسط التأمين)'!$H$17="شهري",'مدخلات (متوسط التأمين)'!$J$17,""))),"")</f>
        <v/>
      </c>
      <c r="K57" s="6" t="str">
        <f>IF(B57&lt;&gt;"",IF(AND('مدخلات (متوسط التأمين)'!$H$18="سنوي",MOD(B57,12)=0),'مدخلات (متوسط التأمين)'!$J$18,IF(AND('مدخلات (متوسط التأمين)'!$H$18="القسط (الدفعة) الاول",B57=1),'مدخلات (متوسط التأمين)'!$J$18,IF('مدخلات (متوسط التأمين)'!$H$18="شهري",'مدخلات (متوسط التأمين)'!$J$18,""))),"")</f>
        <v/>
      </c>
      <c r="L57" s="6">
        <f>IF(B57&lt;=$C$6,(IF(B57&lt;&gt;"",IF(AND('مدخلات (متوسط التأمين)'!$H$19="سنوي",MOD(B57,12)=0),'مدخلات (متوسط التأمين)'!$J$19,IF(AND('مدخلات (متوسط التأمين)'!$H$19="القسط (الدفعة) الاول",B57=1),'مدخلات (متوسط التأمين)'!$J$19,IF('مدخلات (متوسط التأمين)'!$H$19="شهري",'مدخلات (متوسط التأمين)'!$J$19,""))),""))," ")</f>
        <v>552</v>
      </c>
      <c r="M57" s="6">
        <f>IF(B57&lt;&gt;"",IF(AND('مدخلات (متوسط التأمين)'!$H$20="سنوي",MOD(B57,12)=0),'مدخلات (متوسط التأمين)'!$J$20,IF(AND('مدخلات (متوسط التأمين)'!$H$20="القسط (الدفعة) الاول",B57=1),'مدخلات (متوسط التأمين)'!$J$20,IF('مدخلات (متوسط التأمين)'!$H$20="شهري",'مدخلات (متوسط التأمين)'!$J$20,IF(AND('مدخلات (متوسط التأمين)'!$H$20="End of the loan",B57='مدخلات (متوسط التأمين)'!$E$22),'مدخلات (متوسط التأمين)'!$J$20,"")))),"")</f>
        <v>0</v>
      </c>
      <c r="N57" s="6">
        <f t="shared" si="13"/>
        <v>552</v>
      </c>
      <c r="O57" s="4">
        <f t="shared" si="1"/>
        <v>5509.4165516832718</v>
      </c>
      <c r="S57" s="9">
        <f t="shared" si="2"/>
        <v>46502</v>
      </c>
      <c r="T57" s="5">
        <f t="shared" si="6"/>
        <v>5509.42</v>
      </c>
      <c r="V57" s="97"/>
    </row>
    <row r="58" spans="1:22" x14ac:dyDescent="0.2">
      <c r="A58" s="1">
        <f t="shared" si="14"/>
        <v>4</v>
      </c>
      <c r="B58" s="16">
        <f t="shared" si="7"/>
        <v>41</v>
      </c>
      <c r="C58" s="9">
        <f t="shared" si="8"/>
        <v>46532</v>
      </c>
      <c r="D58" s="6">
        <f>IFERROR(PPMT('مدخلات (متوسط التأمين)'!$E$18/12,B58,$C$6,'مدخلات (متوسط التأمين)'!$E$17,-$C$13,0)," ")</f>
        <v>-4347.9996866138463</v>
      </c>
      <c r="E58" s="6">
        <f>IFERROR(IPMT('مدخلات (متوسط التأمين)'!$E$18/12,B58,$C$6,'مدخلات (متوسط التأمين)'!$E$17,-$C$13,0)," ")</f>
        <v>-609.41686506942528</v>
      </c>
      <c r="F58" s="6">
        <f t="shared" si="9"/>
        <v>-163713.33851674644</v>
      </c>
      <c r="G58" s="6">
        <f t="shared" si="10"/>
        <v>-39540.740102267708</v>
      </c>
      <c r="H58" s="6">
        <f t="shared" si="4"/>
        <v>-4957.4165516832718</v>
      </c>
      <c r="I58" s="6">
        <f t="shared" si="5"/>
        <v>136286.66148325356</v>
      </c>
      <c r="J58" s="6" t="str">
        <f>IF(B58&lt;&gt;"",IF(AND('مدخلات (متوسط التأمين)'!$H$17="سنوي",MOD(B58,12)=0),'مدخلات (متوسط التأمين)'!$J$17,IF(AND('مدخلات (متوسط التأمين)'!$H$17="القسط (الدفعة) الاول",B58=1),'مدخلات (متوسط التأمين)'!$J$17,IF('مدخلات (متوسط التأمين)'!$H$17="شهري",'مدخلات (متوسط التأمين)'!$J$17,""))),"")</f>
        <v/>
      </c>
      <c r="K58" s="6" t="str">
        <f>IF(B58&lt;&gt;"",IF(AND('مدخلات (متوسط التأمين)'!$H$18="سنوي",MOD(B58,12)=0),'مدخلات (متوسط التأمين)'!$J$18,IF(AND('مدخلات (متوسط التأمين)'!$H$18="القسط (الدفعة) الاول",B58=1),'مدخلات (متوسط التأمين)'!$J$18,IF('مدخلات (متوسط التأمين)'!$H$18="شهري",'مدخلات (متوسط التأمين)'!$J$18,""))),"")</f>
        <v/>
      </c>
      <c r="L58" s="6">
        <f>IF(B58&lt;=$C$6,(IF(B58&lt;&gt;"",IF(AND('مدخلات (متوسط التأمين)'!$H$19="سنوي",MOD(B58,12)=0),'مدخلات (متوسط التأمين)'!$J$19,IF(AND('مدخلات (متوسط التأمين)'!$H$19="القسط (الدفعة) الاول",B58=1),'مدخلات (متوسط التأمين)'!$J$19,IF('مدخلات (متوسط التأمين)'!$H$19="شهري",'مدخلات (متوسط التأمين)'!$J$19,""))),""))," ")</f>
        <v>552</v>
      </c>
      <c r="M58" s="6">
        <f>IF(B58&lt;&gt;"",IF(AND('مدخلات (متوسط التأمين)'!$H$20="سنوي",MOD(B58,12)=0),'مدخلات (متوسط التأمين)'!$J$20,IF(AND('مدخلات (متوسط التأمين)'!$H$20="القسط (الدفعة) الاول",B58=1),'مدخلات (متوسط التأمين)'!$J$20,IF('مدخلات (متوسط التأمين)'!$H$20="شهري",'مدخلات (متوسط التأمين)'!$J$20,IF(AND('مدخلات (متوسط التأمين)'!$H$20="End of the loan",B58='مدخلات (متوسط التأمين)'!$E$22),'مدخلات (متوسط التأمين)'!$J$20,"")))),"")</f>
        <v>0</v>
      </c>
      <c r="N58" s="6">
        <f t="shared" si="13"/>
        <v>552</v>
      </c>
      <c r="O58" s="4">
        <f t="shared" si="1"/>
        <v>5509.4165516832718</v>
      </c>
      <c r="S58" s="9">
        <f t="shared" si="2"/>
        <v>46532</v>
      </c>
      <c r="T58" s="5">
        <f t="shared" si="6"/>
        <v>5509.42</v>
      </c>
      <c r="V58" s="97"/>
    </row>
    <row r="59" spans="1:22" x14ac:dyDescent="0.2">
      <c r="A59" s="1">
        <f t="shared" si="14"/>
        <v>4</v>
      </c>
      <c r="B59" s="16">
        <f t="shared" si="7"/>
        <v>42</v>
      </c>
      <c r="C59" s="9">
        <f t="shared" si="8"/>
        <v>46563</v>
      </c>
      <c r="D59" s="6">
        <f>IFERROR(PPMT('مدخلات (متوسط التأمين)'!$E$18/12,B59,$C$6,'مدخلات (متوسط التأمين)'!$E$17,-$C$13,0)," ")</f>
        <v>-4366.8410185891726</v>
      </c>
      <c r="E59" s="6">
        <f>IFERROR(IPMT('مدخلات (متوسط التأمين)'!$E$18/12,B59,$C$6,'مدخلات (متوسط التأمين)'!$E$17,-$C$13,0)," ")</f>
        <v>-590.57553309409855</v>
      </c>
      <c r="F59" s="6">
        <f t="shared" si="9"/>
        <v>-168080.17953533563</v>
      </c>
      <c r="G59" s="6">
        <f t="shared" si="10"/>
        <v>-40131.315635361803</v>
      </c>
      <c r="H59" s="6">
        <f t="shared" si="4"/>
        <v>-4957.4165516832709</v>
      </c>
      <c r="I59" s="6">
        <f t="shared" si="5"/>
        <v>131919.82046466437</v>
      </c>
      <c r="J59" s="6" t="str">
        <f>IF(B59&lt;&gt;"",IF(AND('مدخلات (متوسط التأمين)'!$H$17="سنوي",MOD(B59,12)=0),'مدخلات (متوسط التأمين)'!$J$17,IF(AND('مدخلات (متوسط التأمين)'!$H$17="القسط (الدفعة) الاول",B59=1),'مدخلات (متوسط التأمين)'!$J$17,IF('مدخلات (متوسط التأمين)'!$H$17="شهري",'مدخلات (متوسط التأمين)'!$J$17,""))),"")</f>
        <v/>
      </c>
      <c r="K59" s="6" t="str">
        <f>IF(B59&lt;&gt;"",IF(AND('مدخلات (متوسط التأمين)'!$H$18="سنوي",MOD(B59,12)=0),'مدخلات (متوسط التأمين)'!$J$18,IF(AND('مدخلات (متوسط التأمين)'!$H$18="القسط (الدفعة) الاول",B59=1),'مدخلات (متوسط التأمين)'!$J$18,IF('مدخلات (متوسط التأمين)'!$H$18="شهري",'مدخلات (متوسط التأمين)'!$J$18,""))),"")</f>
        <v/>
      </c>
      <c r="L59" s="6">
        <f>IF(B59&lt;=$C$6,(IF(B59&lt;&gt;"",IF(AND('مدخلات (متوسط التأمين)'!$H$19="سنوي",MOD(B59,12)=0),'مدخلات (متوسط التأمين)'!$J$19,IF(AND('مدخلات (متوسط التأمين)'!$H$19="القسط (الدفعة) الاول",B59=1),'مدخلات (متوسط التأمين)'!$J$19,IF('مدخلات (متوسط التأمين)'!$H$19="شهري",'مدخلات (متوسط التأمين)'!$J$19,""))),""))," ")</f>
        <v>552</v>
      </c>
      <c r="M59" s="6">
        <f>IF(B59&lt;&gt;"",IF(AND('مدخلات (متوسط التأمين)'!$H$20="سنوي",MOD(B59,12)=0),'مدخلات (متوسط التأمين)'!$J$20,IF(AND('مدخلات (متوسط التأمين)'!$H$20="القسط (الدفعة) الاول",B59=1),'مدخلات (متوسط التأمين)'!$J$20,IF('مدخلات (متوسط التأمين)'!$H$20="شهري",'مدخلات (متوسط التأمين)'!$J$20,IF(AND('مدخلات (متوسط التأمين)'!$H$20="End of the loan",B59='مدخلات (متوسط التأمين)'!$E$22),'مدخلات (متوسط التأمين)'!$J$20,"")))),"")</f>
        <v>0</v>
      </c>
      <c r="N59" s="6">
        <f t="shared" si="13"/>
        <v>552</v>
      </c>
      <c r="O59" s="4">
        <f t="shared" si="1"/>
        <v>5509.4165516832709</v>
      </c>
      <c r="S59" s="9">
        <f t="shared" si="2"/>
        <v>46563</v>
      </c>
      <c r="T59" s="5">
        <f t="shared" si="6"/>
        <v>5509.42</v>
      </c>
      <c r="V59" s="97"/>
    </row>
    <row r="60" spans="1:22" x14ac:dyDescent="0.2">
      <c r="A60" s="1">
        <f t="shared" si="14"/>
        <v>4</v>
      </c>
      <c r="B60" s="16">
        <f t="shared" si="7"/>
        <v>43</v>
      </c>
      <c r="C60" s="9">
        <f t="shared" si="8"/>
        <v>46593</v>
      </c>
      <c r="D60" s="6">
        <f>IFERROR(PPMT('مدخلات (متوسط التأمين)'!$E$18/12,B60,$C$6,'مدخلات (متوسط التأمين)'!$E$17,-$C$13,0)," ")</f>
        <v>-4385.7639963363927</v>
      </c>
      <c r="E60" s="6">
        <f>IFERROR(IPMT('مدخلات (متوسط التأمين)'!$E$18/12,B60,$C$6,'مدخلات (متوسط التأمين)'!$E$17,-$C$13,0)," ")</f>
        <v>-571.6525553468789</v>
      </c>
      <c r="F60" s="6">
        <f t="shared" si="9"/>
        <v>-172465.94353167203</v>
      </c>
      <c r="G60" s="6">
        <f t="shared" si="10"/>
        <v>-40702.968190708685</v>
      </c>
      <c r="H60" s="6">
        <f t="shared" si="4"/>
        <v>-4957.4165516832718</v>
      </c>
      <c r="I60" s="6">
        <f t="shared" si="5"/>
        <v>127534.05646832797</v>
      </c>
      <c r="J60" s="6" t="str">
        <f>IF(B60&lt;&gt;"",IF(AND('مدخلات (متوسط التأمين)'!$H$17="سنوي",MOD(B60,12)=0),'مدخلات (متوسط التأمين)'!$J$17,IF(AND('مدخلات (متوسط التأمين)'!$H$17="القسط (الدفعة) الاول",B60=1),'مدخلات (متوسط التأمين)'!$J$17,IF('مدخلات (متوسط التأمين)'!$H$17="شهري",'مدخلات (متوسط التأمين)'!$J$17,""))),"")</f>
        <v/>
      </c>
      <c r="K60" s="6" t="str">
        <f>IF(B60&lt;&gt;"",IF(AND('مدخلات (متوسط التأمين)'!$H$18="سنوي",MOD(B60,12)=0),'مدخلات (متوسط التأمين)'!$J$18,IF(AND('مدخلات (متوسط التأمين)'!$H$18="القسط (الدفعة) الاول",B60=1),'مدخلات (متوسط التأمين)'!$J$18,IF('مدخلات (متوسط التأمين)'!$H$18="شهري",'مدخلات (متوسط التأمين)'!$J$18,""))),"")</f>
        <v/>
      </c>
      <c r="L60" s="6">
        <f>IF(B60&lt;=$C$6,(IF(B60&lt;&gt;"",IF(AND('مدخلات (متوسط التأمين)'!$H$19="سنوي",MOD(B60,12)=0),'مدخلات (متوسط التأمين)'!$J$19,IF(AND('مدخلات (متوسط التأمين)'!$H$19="القسط (الدفعة) الاول",B60=1),'مدخلات (متوسط التأمين)'!$J$19,IF('مدخلات (متوسط التأمين)'!$H$19="شهري",'مدخلات (متوسط التأمين)'!$J$19,""))),""))," ")</f>
        <v>552</v>
      </c>
      <c r="M60" s="6">
        <f>IF(B60&lt;&gt;"",IF(AND('مدخلات (متوسط التأمين)'!$H$20="سنوي",MOD(B60,12)=0),'مدخلات (متوسط التأمين)'!$J$20,IF(AND('مدخلات (متوسط التأمين)'!$H$20="القسط (الدفعة) الاول",B60=1),'مدخلات (متوسط التأمين)'!$J$20,IF('مدخلات (متوسط التأمين)'!$H$20="شهري",'مدخلات (متوسط التأمين)'!$J$20,IF(AND('مدخلات (متوسط التأمين)'!$H$20="End of the loan",B60='مدخلات (متوسط التأمين)'!$E$22),'مدخلات (متوسط التأمين)'!$J$20,"")))),"")</f>
        <v>0</v>
      </c>
      <c r="N60" s="6">
        <f t="shared" si="13"/>
        <v>552</v>
      </c>
      <c r="O60" s="4">
        <f t="shared" si="1"/>
        <v>5509.4165516832718</v>
      </c>
      <c r="S60" s="9">
        <f t="shared" si="2"/>
        <v>46593</v>
      </c>
      <c r="T60" s="5">
        <f t="shared" si="6"/>
        <v>5509.42</v>
      </c>
      <c r="V60" s="97"/>
    </row>
    <row r="61" spans="1:22" x14ac:dyDescent="0.2">
      <c r="A61" s="1">
        <f t="shared" si="14"/>
        <v>4</v>
      </c>
      <c r="B61" s="16">
        <f t="shared" si="7"/>
        <v>44</v>
      </c>
      <c r="C61" s="9">
        <f t="shared" si="8"/>
        <v>46624</v>
      </c>
      <c r="D61" s="6">
        <f>IFERROR(PPMT('مدخلات (متوسط التأمين)'!$E$18/12,B61,$C$6,'مدخلات (متوسط التأمين)'!$E$17,-$C$13,0)," ")</f>
        <v>-4404.7689736538505</v>
      </c>
      <c r="E61" s="6">
        <f>IFERROR(IPMT('مدخلات (متوسط التأمين)'!$E$18/12,B61,$C$6,'مدخلات (متوسط التأمين)'!$E$17,-$C$13,0)," ")</f>
        <v>-552.6475780294212</v>
      </c>
      <c r="F61" s="6">
        <f t="shared" si="9"/>
        <v>-176870.71250532588</v>
      </c>
      <c r="G61" s="6">
        <f t="shared" si="10"/>
        <v>-41255.615768738106</v>
      </c>
      <c r="H61" s="6">
        <f t="shared" si="4"/>
        <v>-4957.4165516832718</v>
      </c>
      <c r="I61" s="6">
        <f t="shared" si="5"/>
        <v>123129.28749467412</v>
      </c>
      <c r="J61" s="6" t="str">
        <f>IF(B61&lt;&gt;"",IF(AND('مدخلات (متوسط التأمين)'!$H$17="سنوي",MOD(B61,12)=0),'مدخلات (متوسط التأمين)'!$J$17,IF(AND('مدخلات (متوسط التأمين)'!$H$17="القسط (الدفعة) الاول",B61=1),'مدخلات (متوسط التأمين)'!$J$17,IF('مدخلات (متوسط التأمين)'!$H$17="شهري",'مدخلات (متوسط التأمين)'!$J$17,""))),"")</f>
        <v/>
      </c>
      <c r="K61" s="6" t="str">
        <f>IF(B61&lt;&gt;"",IF(AND('مدخلات (متوسط التأمين)'!$H$18="سنوي",MOD(B61,12)=0),'مدخلات (متوسط التأمين)'!$J$18,IF(AND('مدخلات (متوسط التأمين)'!$H$18="القسط (الدفعة) الاول",B61=1),'مدخلات (متوسط التأمين)'!$J$18,IF('مدخلات (متوسط التأمين)'!$H$18="شهري",'مدخلات (متوسط التأمين)'!$J$18,""))),"")</f>
        <v/>
      </c>
      <c r="L61" s="6">
        <f>IF(B61&lt;=$C$6,(IF(B61&lt;&gt;"",IF(AND('مدخلات (متوسط التأمين)'!$H$19="سنوي",MOD(B61,12)=0),'مدخلات (متوسط التأمين)'!$J$19,IF(AND('مدخلات (متوسط التأمين)'!$H$19="القسط (الدفعة) الاول",B61=1),'مدخلات (متوسط التأمين)'!$J$19,IF('مدخلات (متوسط التأمين)'!$H$19="شهري",'مدخلات (متوسط التأمين)'!$J$19,""))),""))," ")</f>
        <v>552</v>
      </c>
      <c r="M61" s="6">
        <f>IF(B61&lt;&gt;"",IF(AND('مدخلات (متوسط التأمين)'!$H$20="سنوي",MOD(B61,12)=0),'مدخلات (متوسط التأمين)'!$J$20,IF(AND('مدخلات (متوسط التأمين)'!$H$20="القسط (الدفعة) الاول",B61=1),'مدخلات (متوسط التأمين)'!$J$20,IF('مدخلات (متوسط التأمين)'!$H$20="شهري",'مدخلات (متوسط التأمين)'!$J$20,IF(AND('مدخلات (متوسط التأمين)'!$H$20="End of the loan",B61='مدخلات (متوسط التأمين)'!$E$22),'مدخلات (متوسط التأمين)'!$J$20,"")))),"")</f>
        <v>0</v>
      </c>
      <c r="N61" s="6">
        <f t="shared" si="13"/>
        <v>552</v>
      </c>
      <c r="O61" s="4">
        <f t="shared" si="1"/>
        <v>5509.4165516832718</v>
      </c>
      <c r="S61" s="9">
        <f t="shared" si="2"/>
        <v>46624</v>
      </c>
      <c r="T61" s="5">
        <f t="shared" si="6"/>
        <v>5509.42</v>
      </c>
      <c r="V61" s="97"/>
    </row>
    <row r="62" spans="1:22" x14ac:dyDescent="0.2">
      <c r="A62" s="1">
        <f t="shared" si="14"/>
        <v>4</v>
      </c>
      <c r="B62" s="16">
        <f t="shared" si="7"/>
        <v>45</v>
      </c>
      <c r="C62" s="9">
        <f t="shared" si="8"/>
        <v>46655</v>
      </c>
      <c r="D62" s="6">
        <f>IFERROR(PPMT('مدخلات (متوسط التأمين)'!$E$18/12,B62,$C$6,'مدخلات (متوسط التأمين)'!$E$17,-$C$13,0)," ")</f>
        <v>-4423.8563058730169</v>
      </c>
      <c r="E62" s="6">
        <f>IFERROR(IPMT('مدخلات (متوسط التأمين)'!$E$18/12,B62,$C$6,'مدخلات (متوسط التأمين)'!$E$17,-$C$13,0)," ")</f>
        <v>-533.5602458102544</v>
      </c>
      <c r="F62" s="6">
        <f t="shared" si="9"/>
        <v>-181294.5688111989</v>
      </c>
      <c r="G62" s="6">
        <f t="shared" si="10"/>
        <v>-41789.176014548357</v>
      </c>
      <c r="H62" s="6">
        <f t="shared" si="4"/>
        <v>-4957.4165516832709</v>
      </c>
      <c r="I62" s="6">
        <f t="shared" si="5"/>
        <v>118705.4311888011</v>
      </c>
      <c r="J62" s="6" t="str">
        <f>IF(B62&lt;&gt;"",IF(AND('مدخلات (متوسط التأمين)'!$H$17="سنوي",MOD(B62,12)=0),'مدخلات (متوسط التأمين)'!$J$17,IF(AND('مدخلات (متوسط التأمين)'!$H$17="القسط (الدفعة) الاول",B62=1),'مدخلات (متوسط التأمين)'!$J$17,IF('مدخلات (متوسط التأمين)'!$H$17="شهري",'مدخلات (متوسط التأمين)'!$J$17,""))),"")</f>
        <v/>
      </c>
      <c r="K62" s="6" t="str">
        <f>IF(B62&lt;&gt;"",IF(AND('مدخلات (متوسط التأمين)'!$H$18="سنوي",MOD(B62,12)=0),'مدخلات (متوسط التأمين)'!$J$18,IF(AND('مدخلات (متوسط التأمين)'!$H$18="القسط (الدفعة) الاول",B62=1),'مدخلات (متوسط التأمين)'!$J$18,IF('مدخلات (متوسط التأمين)'!$H$18="شهري",'مدخلات (متوسط التأمين)'!$J$18,""))),"")</f>
        <v/>
      </c>
      <c r="L62" s="6">
        <f>IF(B62&lt;=$C$6,(IF(B62&lt;&gt;"",IF(AND('مدخلات (متوسط التأمين)'!$H$19="سنوي",MOD(B62,12)=0),'مدخلات (متوسط التأمين)'!$J$19,IF(AND('مدخلات (متوسط التأمين)'!$H$19="القسط (الدفعة) الاول",B62=1),'مدخلات (متوسط التأمين)'!$J$19,IF('مدخلات (متوسط التأمين)'!$H$19="شهري",'مدخلات (متوسط التأمين)'!$J$19,""))),""))," ")</f>
        <v>552</v>
      </c>
      <c r="M62" s="6">
        <f>IF(B62&lt;&gt;"",IF(AND('مدخلات (متوسط التأمين)'!$H$20="سنوي",MOD(B62,12)=0),'مدخلات (متوسط التأمين)'!$J$20,IF(AND('مدخلات (متوسط التأمين)'!$H$20="القسط (الدفعة) الاول",B62=1),'مدخلات (متوسط التأمين)'!$J$20,IF('مدخلات (متوسط التأمين)'!$H$20="شهري",'مدخلات (متوسط التأمين)'!$J$20,IF(AND('مدخلات (متوسط التأمين)'!$H$20="End of the loan",B62='مدخلات (متوسط التأمين)'!$E$22),'مدخلات (متوسط التأمين)'!$J$20,"")))),"")</f>
        <v>0</v>
      </c>
      <c r="N62" s="6">
        <f t="shared" si="13"/>
        <v>552</v>
      </c>
      <c r="O62" s="4">
        <f t="shared" si="1"/>
        <v>5509.4165516832709</v>
      </c>
      <c r="S62" s="9">
        <f t="shared" si="2"/>
        <v>46655</v>
      </c>
      <c r="T62" s="5">
        <f t="shared" si="6"/>
        <v>5509.42</v>
      </c>
      <c r="V62" s="97"/>
    </row>
    <row r="63" spans="1:22" x14ac:dyDescent="0.2">
      <c r="A63" s="1">
        <f t="shared" si="14"/>
        <v>4</v>
      </c>
      <c r="B63" s="16">
        <f t="shared" si="7"/>
        <v>46</v>
      </c>
      <c r="C63" s="9">
        <f t="shared" si="8"/>
        <v>46685</v>
      </c>
      <c r="D63" s="6">
        <f>IFERROR(PPMT('مدخلات (متوسط التأمين)'!$E$18/12,B63,$C$6,'مدخلات (متوسط التأمين)'!$E$17,-$C$13,0)," ")</f>
        <v>-4443.0263498651339</v>
      </c>
      <c r="E63" s="6">
        <f>IFERROR(IPMT('مدخلات (متوسط التأمين)'!$E$18/12,B63,$C$6,'مدخلات (متوسط التأمين)'!$E$17,-$C$13,0)," ")</f>
        <v>-514.39020181813805</v>
      </c>
      <c r="F63" s="6">
        <f t="shared" si="9"/>
        <v>-185737.59516106403</v>
      </c>
      <c r="G63" s="6">
        <f t="shared" si="10"/>
        <v>-42303.566216366497</v>
      </c>
      <c r="H63" s="6">
        <f t="shared" si="4"/>
        <v>-4957.4165516832718</v>
      </c>
      <c r="I63" s="6">
        <f t="shared" si="5"/>
        <v>114262.40483893597</v>
      </c>
      <c r="J63" s="6" t="str">
        <f>IF(B63&lt;&gt;"",IF(AND('مدخلات (متوسط التأمين)'!$H$17="سنوي",MOD(B63,12)=0),'مدخلات (متوسط التأمين)'!$J$17,IF(AND('مدخلات (متوسط التأمين)'!$H$17="القسط (الدفعة) الاول",B63=1),'مدخلات (متوسط التأمين)'!$J$17,IF('مدخلات (متوسط التأمين)'!$H$17="شهري",'مدخلات (متوسط التأمين)'!$J$17,""))),"")</f>
        <v/>
      </c>
      <c r="K63" s="6" t="str">
        <f>IF(B63&lt;&gt;"",IF(AND('مدخلات (متوسط التأمين)'!$H$18="سنوي",MOD(B63,12)=0),'مدخلات (متوسط التأمين)'!$J$18,IF(AND('مدخلات (متوسط التأمين)'!$H$18="القسط (الدفعة) الاول",B63=1),'مدخلات (متوسط التأمين)'!$J$18,IF('مدخلات (متوسط التأمين)'!$H$18="شهري",'مدخلات (متوسط التأمين)'!$J$18,""))),"")</f>
        <v/>
      </c>
      <c r="L63" s="6">
        <f>IF(B63&lt;=$C$6,(IF(B63&lt;&gt;"",IF(AND('مدخلات (متوسط التأمين)'!$H$19="سنوي",MOD(B63,12)=0),'مدخلات (متوسط التأمين)'!$J$19,IF(AND('مدخلات (متوسط التأمين)'!$H$19="القسط (الدفعة) الاول",B63=1),'مدخلات (متوسط التأمين)'!$J$19,IF('مدخلات (متوسط التأمين)'!$H$19="شهري",'مدخلات (متوسط التأمين)'!$J$19,""))),""))," ")</f>
        <v>552</v>
      </c>
      <c r="M63" s="6">
        <f>IF(B63&lt;&gt;"",IF(AND('مدخلات (متوسط التأمين)'!$H$20="سنوي",MOD(B63,12)=0),'مدخلات (متوسط التأمين)'!$J$20,IF(AND('مدخلات (متوسط التأمين)'!$H$20="القسط (الدفعة) الاول",B63=1),'مدخلات (متوسط التأمين)'!$J$20,IF('مدخلات (متوسط التأمين)'!$H$20="شهري",'مدخلات (متوسط التأمين)'!$J$20,IF(AND('مدخلات (متوسط التأمين)'!$H$20="End of the loan",B63='مدخلات (متوسط التأمين)'!$E$22),'مدخلات (متوسط التأمين)'!$J$20,"")))),"")</f>
        <v>0</v>
      </c>
      <c r="N63" s="6">
        <f t="shared" si="13"/>
        <v>552</v>
      </c>
      <c r="O63" s="4">
        <f t="shared" si="1"/>
        <v>5509.4165516832718</v>
      </c>
      <c r="S63" s="9">
        <f t="shared" si="2"/>
        <v>46685</v>
      </c>
      <c r="T63" s="5">
        <f t="shared" si="6"/>
        <v>5509.42</v>
      </c>
      <c r="V63" s="97"/>
    </row>
    <row r="64" spans="1:22" x14ac:dyDescent="0.2">
      <c r="A64" s="1">
        <f t="shared" si="14"/>
        <v>4</v>
      </c>
      <c r="B64" s="16">
        <f t="shared" si="7"/>
        <v>47</v>
      </c>
      <c r="C64" s="9">
        <f t="shared" si="8"/>
        <v>46716</v>
      </c>
      <c r="D64" s="6">
        <f>IFERROR(PPMT('مدخلات (متوسط التأمين)'!$E$18/12,B64,$C$6,'مدخلات (متوسط التأمين)'!$E$17,-$C$13,0)," ")</f>
        <v>-4462.2794640478824</v>
      </c>
      <c r="E64" s="6">
        <f>IFERROR(IPMT('مدخلات (متوسط التأمين)'!$E$18/12,B64,$C$6,'مدخلات (متوسط التأمين)'!$E$17,-$C$13,0)," ")</f>
        <v>-495.13708763538915</v>
      </c>
      <c r="F64" s="6">
        <f t="shared" si="9"/>
        <v>-190199.87462511193</v>
      </c>
      <c r="G64" s="6">
        <f t="shared" si="10"/>
        <v>-42798.703304001887</v>
      </c>
      <c r="H64" s="6">
        <f t="shared" si="4"/>
        <v>-4957.4165516832718</v>
      </c>
      <c r="I64" s="6">
        <f t="shared" si="5"/>
        <v>109800.12537488807</v>
      </c>
      <c r="J64" s="6" t="str">
        <f>IF(B64&lt;&gt;"",IF(AND('مدخلات (متوسط التأمين)'!$H$17="سنوي",MOD(B64,12)=0),'مدخلات (متوسط التأمين)'!$J$17,IF(AND('مدخلات (متوسط التأمين)'!$H$17="القسط (الدفعة) الاول",B64=1),'مدخلات (متوسط التأمين)'!$J$17,IF('مدخلات (متوسط التأمين)'!$H$17="شهري",'مدخلات (متوسط التأمين)'!$J$17,""))),"")</f>
        <v/>
      </c>
      <c r="K64" s="6" t="str">
        <f>IF(B64&lt;&gt;"",IF(AND('مدخلات (متوسط التأمين)'!$H$18="سنوي",MOD(B64,12)=0),'مدخلات (متوسط التأمين)'!$J$18,IF(AND('مدخلات (متوسط التأمين)'!$H$18="القسط (الدفعة) الاول",B64=1),'مدخلات (متوسط التأمين)'!$J$18,IF('مدخلات (متوسط التأمين)'!$H$18="شهري",'مدخلات (متوسط التأمين)'!$J$18,""))),"")</f>
        <v/>
      </c>
      <c r="L64" s="6">
        <f>IF(B64&lt;=$C$6,(IF(B64&lt;&gt;"",IF(AND('مدخلات (متوسط التأمين)'!$H$19="سنوي",MOD(B64,12)=0),'مدخلات (متوسط التأمين)'!$J$19,IF(AND('مدخلات (متوسط التأمين)'!$H$19="القسط (الدفعة) الاول",B64=1),'مدخلات (متوسط التأمين)'!$J$19,IF('مدخلات (متوسط التأمين)'!$H$19="شهري",'مدخلات (متوسط التأمين)'!$J$19,""))),""))," ")</f>
        <v>552</v>
      </c>
      <c r="M64" s="6">
        <f>IF(B64&lt;&gt;"",IF(AND('مدخلات (متوسط التأمين)'!$H$20="سنوي",MOD(B64,12)=0),'مدخلات (متوسط التأمين)'!$J$20,IF(AND('مدخلات (متوسط التأمين)'!$H$20="القسط (الدفعة) الاول",B64=1),'مدخلات (متوسط التأمين)'!$J$20,IF('مدخلات (متوسط التأمين)'!$H$20="شهري",'مدخلات (متوسط التأمين)'!$J$20,IF(AND('مدخلات (متوسط التأمين)'!$H$20="End of the loan",B64='مدخلات (متوسط التأمين)'!$E$22),'مدخلات (متوسط التأمين)'!$J$20,"")))),"")</f>
        <v>0</v>
      </c>
      <c r="N64" s="6">
        <f t="shared" si="13"/>
        <v>552</v>
      </c>
      <c r="O64" s="4">
        <f t="shared" si="1"/>
        <v>5509.4165516832718</v>
      </c>
      <c r="S64" s="9">
        <f t="shared" si="2"/>
        <v>46716</v>
      </c>
      <c r="T64" s="5">
        <f t="shared" si="6"/>
        <v>5509.42</v>
      </c>
      <c r="V64" s="97"/>
    </row>
    <row r="65" spans="1:26" x14ac:dyDescent="0.2">
      <c r="A65" s="1">
        <f t="shared" si="14"/>
        <v>4</v>
      </c>
      <c r="B65" s="16">
        <f t="shared" si="7"/>
        <v>48</v>
      </c>
      <c r="C65" s="9">
        <f t="shared" si="8"/>
        <v>46746</v>
      </c>
      <c r="D65" s="6">
        <f>IFERROR(PPMT('مدخلات (متوسط التأمين)'!$E$18/12,B65,$C$6,'مدخلات (متوسط التأمين)'!$E$17,-$C$13,0)," ")</f>
        <v>-4481.6160083920904</v>
      </c>
      <c r="E65" s="6">
        <f>IFERROR(IPMT('مدخلات (متوسط التأمين)'!$E$18/12,B65,$C$6,'مدخلات (متوسط التأمين)'!$E$17,-$C$13,0)," ")</f>
        <v>-475.80054329118161</v>
      </c>
      <c r="F65" s="6">
        <f t="shared" si="9"/>
        <v>-194681.49063350403</v>
      </c>
      <c r="G65" s="6">
        <f t="shared" si="10"/>
        <v>-43274.503847293068</v>
      </c>
      <c r="H65" s="6">
        <f t="shared" si="4"/>
        <v>-4957.4165516832718</v>
      </c>
      <c r="I65" s="6">
        <f t="shared" si="5"/>
        <v>105318.50936649597</v>
      </c>
      <c r="J65" s="6" t="str">
        <f>IF(B65&lt;&gt;"",IF(AND('مدخلات (متوسط التأمين)'!$H$17="سنوي",MOD(B65,12)=0),'مدخلات (متوسط التأمين)'!$J$17,IF(AND('مدخلات (متوسط التأمين)'!$H$17="القسط (الدفعة) الاول",B65=1),'مدخلات (متوسط التأمين)'!$J$17,IF('مدخلات (متوسط التأمين)'!$H$17="شهري",'مدخلات (متوسط التأمين)'!$J$17,""))),"")</f>
        <v/>
      </c>
      <c r="K65" s="6">
        <f>IF(B65&lt;&gt;"",IF(AND('مدخلات (متوسط التأمين)'!$H$18="سنوي",MOD(B65,12)=0),'مدخلات (متوسط التأمين)'!$J$18,IF(AND('مدخلات (متوسط التأمين)'!$H$18="القسط (الدفعة) الاول",B65=1),'مدخلات (متوسط التأمين)'!$J$18,IF('مدخلات (متوسط التأمين)'!$H$18="شهري",'مدخلات (متوسط التأمين)'!$J$18,""))),"")</f>
        <v>0</v>
      </c>
      <c r="L65" s="6">
        <f>IF(B65&lt;=$C$6,(IF(B65&lt;&gt;"",IF(AND('مدخلات (متوسط التأمين)'!$H$19="سنوي",MOD(B65,12)=0),'مدخلات (متوسط التأمين)'!$J$19,IF(AND('مدخلات (متوسط التأمين)'!$H$19="القسط (الدفعة) الاول",B65=1),'مدخلات (متوسط التأمين)'!$J$19,IF('مدخلات (متوسط التأمين)'!$H$19="شهري",'مدخلات (متوسط التأمين)'!$J$19,""))),""))," ")</f>
        <v>552</v>
      </c>
      <c r="M65" s="6">
        <f>IF(B65&lt;&gt;"",IF(AND('مدخلات (متوسط التأمين)'!$H$20="سنوي",MOD(B65,12)=0),'مدخلات (متوسط التأمين)'!$J$20,IF(AND('مدخلات (متوسط التأمين)'!$H$20="القسط (الدفعة) الاول",B65=1),'مدخلات (متوسط التأمين)'!$J$20,IF('مدخلات (متوسط التأمين)'!$H$20="شهري",'مدخلات (متوسط التأمين)'!$J$20,IF(AND('مدخلات (متوسط التأمين)'!$H$20="End of the loan",B65='مدخلات (متوسط التأمين)'!$E$22),'مدخلات (متوسط التأمين)'!$J$20,"")))),"")</f>
        <v>0</v>
      </c>
      <c r="N65" s="6">
        <f t="shared" si="13"/>
        <v>552</v>
      </c>
      <c r="O65" s="4">
        <f t="shared" si="1"/>
        <v>5509.4165516832718</v>
      </c>
      <c r="S65" s="9">
        <f t="shared" si="2"/>
        <v>46746</v>
      </c>
      <c r="T65" s="5">
        <f t="shared" si="6"/>
        <v>5509.42</v>
      </c>
      <c r="V65" s="97"/>
    </row>
    <row r="66" spans="1:26" x14ac:dyDescent="0.2">
      <c r="A66" s="1">
        <f>IF(B66&lt;&gt;"",5,"")</f>
        <v>5</v>
      </c>
      <c r="B66" s="16">
        <f t="shared" si="7"/>
        <v>49</v>
      </c>
      <c r="C66" s="9">
        <f t="shared" si="8"/>
        <v>46777</v>
      </c>
      <c r="D66" s="6">
        <f>IFERROR(PPMT('مدخلات (متوسط التأمين)'!$E$18/12,B66,$C$6,'مدخلات (متوسط التأمين)'!$E$17,-$C$13,0)," ")</f>
        <v>-4501.0363444284558</v>
      </c>
      <c r="E66" s="6">
        <f>IFERROR(IPMT('مدخلات (متوسط التأمين)'!$E$18/12,B66,$C$6,'مدخلات (متوسط التأمين)'!$E$17,-$C$13,0)," ")</f>
        <v>-456.38020725481596</v>
      </c>
      <c r="F66" s="6">
        <f t="shared" si="9"/>
        <v>-199182.52697793249</v>
      </c>
      <c r="G66" s="6">
        <f t="shared" si="10"/>
        <v>-43730.884054547882</v>
      </c>
      <c r="H66" s="6">
        <f t="shared" si="4"/>
        <v>-4957.4165516832718</v>
      </c>
      <c r="I66" s="6">
        <f t="shared" si="5"/>
        <v>100817.47302206751</v>
      </c>
      <c r="J66" s="6" t="str">
        <f>IF(B66&lt;&gt;"",IF(AND('مدخلات (متوسط التأمين)'!$H$17="سنوي",MOD(B66,12)=0),'مدخلات (متوسط التأمين)'!$J$17,IF(AND('مدخلات (متوسط التأمين)'!$H$17="القسط (الدفعة) الاول",B66=1),'مدخلات (متوسط التأمين)'!$J$17,IF('مدخلات (متوسط التأمين)'!$H$17="شهري",'مدخلات (متوسط التأمين)'!$J$17,""))),"")</f>
        <v/>
      </c>
      <c r="K66" s="6" t="str">
        <f>IF(B66&lt;&gt;"",IF(AND('مدخلات (متوسط التأمين)'!$H$18="سنوي",MOD(B66,12)=0),'مدخلات (متوسط التأمين)'!$J$18,IF(AND('مدخلات (متوسط التأمين)'!$H$18="القسط (الدفعة) الاول",B66=1),'مدخلات (متوسط التأمين)'!$J$18,IF('مدخلات (متوسط التأمين)'!$H$18="شهري",'مدخلات (متوسط التأمين)'!$J$18,""))),"")</f>
        <v/>
      </c>
      <c r="L66" s="6">
        <f>IF(B66&lt;=$C$6,(IF(B66&lt;&gt;"",IF(AND('مدخلات (متوسط التأمين)'!$H$19="سنوي",MOD(B66,12)=0),'مدخلات (متوسط التأمين)'!$J$19,IF(AND('مدخلات (متوسط التأمين)'!$H$19="القسط (الدفعة) الاول",B66=1),'مدخلات (متوسط التأمين)'!$J$19,IF('مدخلات (متوسط التأمين)'!$H$19="شهري",'مدخلات (متوسط التأمين)'!$J$19,""))),""))," ")</f>
        <v>552</v>
      </c>
      <c r="M66" s="6">
        <f>IF(B66&lt;&gt;"",IF(AND('مدخلات (متوسط التأمين)'!$H$20="سنوي",MOD(B66,12)=0),'مدخلات (متوسط التأمين)'!$J$20,IF(AND('مدخلات (متوسط التأمين)'!$H$20="القسط (الدفعة) الاول",B66=1),'مدخلات (متوسط التأمين)'!$J$20,IF('مدخلات (متوسط التأمين)'!$H$20="شهري",'مدخلات (متوسط التأمين)'!$J$20,IF(AND('مدخلات (متوسط التأمين)'!$H$20="End of the loan",B66='مدخلات (متوسط التأمين)'!$E$22),'مدخلات (متوسط التأمين)'!$J$20,"")))),"")</f>
        <v>0</v>
      </c>
      <c r="N66" s="6">
        <f t="shared" si="13"/>
        <v>552</v>
      </c>
      <c r="O66" s="4">
        <f t="shared" si="1"/>
        <v>5509.4165516832718</v>
      </c>
      <c r="S66" s="9">
        <f t="shared" si="2"/>
        <v>46777</v>
      </c>
      <c r="T66" s="5">
        <f t="shared" si="6"/>
        <v>5509.42</v>
      </c>
      <c r="V66" s="97"/>
    </row>
    <row r="67" spans="1:26" x14ac:dyDescent="0.2">
      <c r="A67" s="1">
        <f t="shared" ref="A67:A77" si="15">IF(B67&lt;&gt;"",5,"")</f>
        <v>5</v>
      </c>
      <c r="B67" s="16">
        <f t="shared" si="7"/>
        <v>50</v>
      </c>
      <c r="C67" s="9">
        <f t="shared" si="8"/>
        <v>46808</v>
      </c>
      <c r="D67" s="6">
        <f>IFERROR(PPMT('مدخلات (متوسط التأمين)'!$E$18/12,B67,$C$6,'مدخلات (متوسط التأمين)'!$E$17,-$C$13,0)," ")</f>
        <v>-4520.5408352543127</v>
      </c>
      <c r="E67" s="6">
        <f>IFERROR(IPMT('مدخلات (متوسط التأمين)'!$E$18/12,B67,$C$6,'مدخلات (متوسط التأمين)'!$E$17,-$C$13,0)," ")</f>
        <v>-436.87571642895932</v>
      </c>
      <c r="F67" s="6">
        <f t="shared" si="9"/>
        <v>-203703.06781318679</v>
      </c>
      <c r="G67" s="6">
        <f t="shared" si="10"/>
        <v>-44167.759770976838</v>
      </c>
      <c r="H67" s="6">
        <f t="shared" si="4"/>
        <v>-4957.4165516832718</v>
      </c>
      <c r="I67" s="6">
        <f t="shared" si="5"/>
        <v>96296.93218681321</v>
      </c>
      <c r="J67" s="6" t="str">
        <f>IF(B67&lt;&gt;"",IF(AND('مدخلات (متوسط التأمين)'!$H$17="سنوي",MOD(B67,12)=0),'مدخلات (متوسط التأمين)'!$J$17,IF(AND('مدخلات (متوسط التأمين)'!$H$17="القسط (الدفعة) الاول",B67=1),'مدخلات (متوسط التأمين)'!$J$17,IF('مدخلات (متوسط التأمين)'!$H$17="شهري",'مدخلات (متوسط التأمين)'!$J$17,""))),"")</f>
        <v/>
      </c>
      <c r="K67" s="6" t="str">
        <f>IF(B67&lt;&gt;"",IF(AND('مدخلات (متوسط التأمين)'!$H$18="سنوي",MOD(B67,12)=0),'مدخلات (متوسط التأمين)'!$J$18,IF(AND('مدخلات (متوسط التأمين)'!$H$18="القسط (الدفعة) الاول",B67=1),'مدخلات (متوسط التأمين)'!$J$18,IF('مدخلات (متوسط التأمين)'!$H$18="شهري",'مدخلات (متوسط التأمين)'!$J$18,""))),"")</f>
        <v/>
      </c>
      <c r="L67" s="6">
        <f>IF(B67&lt;=$C$6,(IF(B67&lt;&gt;"",IF(AND('مدخلات (متوسط التأمين)'!$H$19="سنوي",MOD(B67,12)=0),'مدخلات (متوسط التأمين)'!$J$19,IF(AND('مدخلات (متوسط التأمين)'!$H$19="القسط (الدفعة) الاول",B67=1),'مدخلات (متوسط التأمين)'!$J$19,IF('مدخلات (متوسط التأمين)'!$H$19="شهري",'مدخلات (متوسط التأمين)'!$J$19,""))),""))," ")</f>
        <v>552</v>
      </c>
      <c r="M67" s="6">
        <f>IF(B67&lt;&gt;"",IF(AND('مدخلات (متوسط التأمين)'!$H$20="سنوي",MOD(B67,12)=0),'مدخلات (متوسط التأمين)'!$J$20,IF(AND('مدخلات (متوسط التأمين)'!$H$20="القسط (الدفعة) الاول",B67=1),'مدخلات (متوسط التأمين)'!$J$20,IF('مدخلات (متوسط التأمين)'!$H$20="شهري",'مدخلات (متوسط التأمين)'!$J$20,IF(AND('مدخلات (متوسط التأمين)'!$H$20="End of the loan",B67='مدخلات (متوسط التأمين)'!$E$22),'مدخلات (متوسط التأمين)'!$J$20,"")))),"")</f>
        <v>0</v>
      </c>
      <c r="N67" s="6">
        <f t="shared" si="13"/>
        <v>552</v>
      </c>
      <c r="O67" s="4">
        <f t="shared" si="1"/>
        <v>5509.4165516832718</v>
      </c>
      <c r="S67" s="9">
        <f t="shared" si="2"/>
        <v>46808</v>
      </c>
      <c r="T67" s="5">
        <f t="shared" si="6"/>
        <v>5509.42</v>
      </c>
      <c r="V67" s="97"/>
    </row>
    <row r="68" spans="1:26" x14ac:dyDescent="0.2">
      <c r="A68" s="1">
        <f t="shared" si="15"/>
        <v>5</v>
      </c>
      <c r="B68" s="16">
        <f t="shared" si="7"/>
        <v>51</v>
      </c>
      <c r="C68" s="9">
        <f t="shared" si="8"/>
        <v>46837</v>
      </c>
      <c r="D68" s="6">
        <f>IFERROR(PPMT('مدخلات (متوسط التأمين)'!$E$18/12,B68,$C$6,'مدخلات (متوسط التأمين)'!$E$17,-$C$13,0)," ")</f>
        <v>-4540.1298455404149</v>
      </c>
      <c r="E68" s="6">
        <f>IFERROR(IPMT('مدخلات (متوسط التأمين)'!$E$18/12,B68,$C$6,'مدخلات (متوسط التأمين)'!$E$17,-$C$13,0)," ")</f>
        <v>-417.28670614285727</v>
      </c>
      <c r="F68" s="6">
        <f t="shared" si="9"/>
        <v>-208243.19765872721</v>
      </c>
      <c r="G68" s="6">
        <f t="shared" si="10"/>
        <v>-44585.046477119693</v>
      </c>
      <c r="H68" s="6">
        <f t="shared" si="4"/>
        <v>-4957.4165516832718</v>
      </c>
      <c r="I68" s="6">
        <f t="shared" si="5"/>
        <v>91756.802341272793</v>
      </c>
      <c r="J68" s="6" t="str">
        <f>IF(B68&lt;&gt;"",IF(AND('مدخلات (متوسط التأمين)'!$H$17="سنوي",MOD(B68,12)=0),'مدخلات (متوسط التأمين)'!$J$17,IF(AND('مدخلات (متوسط التأمين)'!$H$17="القسط (الدفعة) الاول",B68=1),'مدخلات (متوسط التأمين)'!$J$17,IF('مدخلات (متوسط التأمين)'!$H$17="شهري",'مدخلات (متوسط التأمين)'!$J$17,""))),"")</f>
        <v/>
      </c>
      <c r="K68" s="6" t="str">
        <f>IF(B68&lt;&gt;"",IF(AND('مدخلات (متوسط التأمين)'!$H$18="سنوي",MOD(B68,12)=0),'مدخلات (متوسط التأمين)'!$J$18,IF(AND('مدخلات (متوسط التأمين)'!$H$18="القسط (الدفعة) الاول",B68=1),'مدخلات (متوسط التأمين)'!$J$18,IF('مدخلات (متوسط التأمين)'!$H$18="شهري",'مدخلات (متوسط التأمين)'!$J$18,""))),"")</f>
        <v/>
      </c>
      <c r="L68" s="6">
        <f>IF(B68&lt;=$C$6,(IF(B68&lt;&gt;"",IF(AND('مدخلات (متوسط التأمين)'!$H$19="سنوي",MOD(B68,12)=0),'مدخلات (متوسط التأمين)'!$J$19,IF(AND('مدخلات (متوسط التأمين)'!$H$19="القسط (الدفعة) الاول",B68=1),'مدخلات (متوسط التأمين)'!$J$19,IF('مدخلات (متوسط التأمين)'!$H$19="شهري",'مدخلات (متوسط التأمين)'!$J$19,""))),""))," ")</f>
        <v>552</v>
      </c>
      <c r="M68" s="6">
        <f>IF(B68&lt;&gt;"",IF(AND('مدخلات (متوسط التأمين)'!$H$20="سنوي",MOD(B68,12)=0),'مدخلات (متوسط التأمين)'!$J$20,IF(AND('مدخلات (متوسط التأمين)'!$H$20="القسط (الدفعة) الاول",B68=1),'مدخلات (متوسط التأمين)'!$J$20,IF('مدخلات (متوسط التأمين)'!$H$20="شهري",'مدخلات (متوسط التأمين)'!$J$20,IF(AND('مدخلات (متوسط التأمين)'!$H$20="End of the loan",B68='مدخلات (متوسط التأمين)'!$E$22),'مدخلات (متوسط التأمين)'!$J$20,"")))),"")</f>
        <v>0</v>
      </c>
      <c r="N68" s="6">
        <f t="shared" si="13"/>
        <v>552</v>
      </c>
      <c r="O68" s="4">
        <f t="shared" si="1"/>
        <v>5509.4165516832718</v>
      </c>
      <c r="S68" s="9">
        <f t="shared" si="2"/>
        <v>46837</v>
      </c>
      <c r="T68" s="5">
        <f t="shared" si="6"/>
        <v>5509.42</v>
      </c>
      <c r="V68" s="97"/>
    </row>
    <row r="69" spans="1:26" x14ac:dyDescent="0.2">
      <c r="A69" s="1">
        <f t="shared" si="15"/>
        <v>5</v>
      </c>
      <c r="B69" s="16">
        <f t="shared" si="7"/>
        <v>52</v>
      </c>
      <c r="C69" s="9">
        <f t="shared" si="8"/>
        <v>46868</v>
      </c>
      <c r="D69" s="6">
        <f>IFERROR(PPMT('مدخلات (متوسط التأمين)'!$E$18/12,B69,$C$6,'مدخلات (متوسط التأمين)'!$E$17,-$C$13,0)," ")</f>
        <v>-4559.8037415377567</v>
      </c>
      <c r="E69" s="6">
        <f>IFERROR(IPMT('مدخلات (متوسط التأمين)'!$E$18/12,B69,$C$6,'مدخلات (متوسط التأمين)'!$E$17,-$C$13,0)," ")</f>
        <v>-397.61281014551548</v>
      </c>
      <c r="F69" s="6">
        <f t="shared" si="9"/>
        <v>-212803.00140026497</v>
      </c>
      <c r="G69" s="6">
        <f t="shared" si="10"/>
        <v>-44982.659287265211</v>
      </c>
      <c r="H69" s="6">
        <f t="shared" si="4"/>
        <v>-4957.4165516832718</v>
      </c>
      <c r="I69" s="6">
        <f t="shared" si="5"/>
        <v>87196.99859973503</v>
      </c>
      <c r="J69" s="6" t="str">
        <f>IF(B69&lt;&gt;"",IF(AND('مدخلات (متوسط التأمين)'!$H$17="سنوي",MOD(B69,12)=0),'مدخلات (متوسط التأمين)'!$J$17,IF(AND('مدخلات (متوسط التأمين)'!$H$17="القسط (الدفعة) الاول",B69=1),'مدخلات (متوسط التأمين)'!$J$17,IF('مدخلات (متوسط التأمين)'!$H$17="شهري",'مدخلات (متوسط التأمين)'!$J$17,""))),"")</f>
        <v/>
      </c>
      <c r="K69" s="6" t="str">
        <f>IF(B69&lt;&gt;"",IF(AND('مدخلات (متوسط التأمين)'!$H$18="سنوي",MOD(B69,12)=0),'مدخلات (متوسط التأمين)'!$J$18,IF(AND('مدخلات (متوسط التأمين)'!$H$18="القسط (الدفعة) الاول",B69=1),'مدخلات (متوسط التأمين)'!$J$18,IF('مدخلات (متوسط التأمين)'!$H$18="شهري",'مدخلات (متوسط التأمين)'!$J$18,""))),"")</f>
        <v/>
      </c>
      <c r="L69" s="6">
        <f>IF(B69&lt;=$C$6,(IF(B69&lt;&gt;"",IF(AND('مدخلات (متوسط التأمين)'!$H$19="سنوي",MOD(B69,12)=0),'مدخلات (متوسط التأمين)'!$J$19,IF(AND('مدخلات (متوسط التأمين)'!$H$19="القسط (الدفعة) الاول",B69=1),'مدخلات (متوسط التأمين)'!$J$19,IF('مدخلات (متوسط التأمين)'!$H$19="شهري",'مدخلات (متوسط التأمين)'!$J$19,""))),""))," ")</f>
        <v>552</v>
      </c>
      <c r="M69" s="6">
        <f>IF(B69&lt;&gt;"",IF(AND('مدخلات (متوسط التأمين)'!$H$20="سنوي",MOD(B69,12)=0),'مدخلات (متوسط التأمين)'!$J$20,IF(AND('مدخلات (متوسط التأمين)'!$H$20="القسط (الدفعة) الاول",B69=1),'مدخلات (متوسط التأمين)'!$J$20,IF('مدخلات (متوسط التأمين)'!$H$20="شهري",'مدخلات (متوسط التأمين)'!$J$20,IF(AND('مدخلات (متوسط التأمين)'!$H$20="End of the loan",B69='مدخلات (متوسط التأمين)'!$E$22),'مدخلات (متوسط التأمين)'!$J$20,"")))),"")</f>
        <v>0</v>
      </c>
      <c r="N69" s="6">
        <f t="shared" si="13"/>
        <v>552</v>
      </c>
      <c r="O69" s="4">
        <f t="shared" si="1"/>
        <v>5509.4165516832718</v>
      </c>
      <c r="S69" s="9">
        <f t="shared" si="2"/>
        <v>46868</v>
      </c>
      <c r="T69" s="5">
        <f t="shared" si="6"/>
        <v>5509.42</v>
      </c>
      <c r="V69" s="97"/>
    </row>
    <row r="70" spans="1:26" x14ac:dyDescent="0.2">
      <c r="A70" s="1">
        <f t="shared" si="15"/>
        <v>5</v>
      </c>
      <c r="B70" s="16">
        <f t="shared" si="7"/>
        <v>53</v>
      </c>
      <c r="C70" s="9">
        <f t="shared" si="8"/>
        <v>46898</v>
      </c>
      <c r="D70" s="6">
        <f>IFERROR(PPMT('مدخلات (متوسط التأمين)'!$E$18/12,B70,$C$6,'مدخلات (متوسط التأمين)'!$E$17,-$C$13,0)," ")</f>
        <v>-4579.5628910844198</v>
      </c>
      <c r="E70" s="6">
        <f>IFERROR(IPMT('مدخلات (متوسط التأمين)'!$E$18/12,B70,$C$6,'مدخلات (متوسط التأمين)'!$E$17,-$C$13,0)," ")</f>
        <v>-377.85366059885189</v>
      </c>
      <c r="F70" s="6">
        <f t="shared" si="9"/>
        <v>-217382.56429134938</v>
      </c>
      <c r="G70" s="6">
        <f t="shared" si="10"/>
        <v>-45360.512947864059</v>
      </c>
      <c r="H70" s="6">
        <f t="shared" si="4"/>
        <v>-4957.4165516832718</v>
      </c>
      <c r="I70" s="6">
        <f t="shared" si="5"/>
        <v>82617.435708650621</v>
      </c>
      <c r="J70" s="6" t="str">
        <f>IF(B70&lt;&gt;"",IF(AND('مدخلات (متوسط التأمين)'!$H$17="سنوي",MOD(B70,12)=0),'مدخلات (متوسط التأمين)'!$J$17,IF(AND('مدخلات (متوسط التأمين)'!$H$17="القسط (الدفعة) الاول",B70=1),'مدخلات (متوسط التأمين)'!$J$17,IF('مدخلات (متوسط التأمين)'!$H$17="شهري",'مدخلات (متوسط التأمين)'!$J$17,""))),"")</f>
        <v/>
      </c>
      <c r="K70" s="6" t="str">
        <f>IF(B70&lt;&gt;"",IF(AND('مدخلات (متوسط التأمين)'!$H$18="سنوي",MOD(B70,12)=0),'مدخلات (متوسط التأمين)'!$J$18,IF(AND('مدخلات (متوسط التأمين)'!$H$18="القسط (الدفعة) الاول",B70=1),'مدخلات (متوسط التأمين)'!$J$18,IF('مدخلات (متوسط التأمين)'!$H$18="شهري",'مدخلات (متوسط التأمين)'!$J$18,""))),"")</f>
        <v/>
      </c>
      <c r="L70" s="6">
        <f>IF(B70&lt;=$C$6,(IF(B70&lt;&gt;"",IF(AND('مدخلات (متوسط التأمين)'!$H$19="سنوي",MOD(B70,12)=0),'مدخلات (متوسط التأمين)'!$J$19,IF(AND('مدخلات (متوسط التأمين)'!$H$19="القسط (الدفعة) الاول",B70=1),'مدخلات (متوسط التأمين)'!$J$19,IF('مدخلات (متوسط التأمين)'!$H$19="شهري",'مدخلات (متوسط التأمين)'!$J$19,""))),""))," ")</f>
        <v>552</v>
      </c>
      <c r="M70" s="6">
        <f>IF(B70&lt;&gt;"",IF(AND('مدخلات (متوسط التأمين)'!$H$20="سنوي",MOD(B70,12)=0),'مدخلات (متوسط التأمين)'!$J$20,IF(AND('مدخلات (متوسط التأمين)'!$H$20="القسط (الدفعة) الاول",B70=1),'مدخلات (متوسط التأمين)'!$J$20,IF('مدخلات (متوسط التأمين)'!$H$20="شهري",'مدخلات (متوسط التأمين)'!$J$20,IF(AND('مدخلات (متوسط التأمين)'!$H$20="End of the loan",B70='مدخلات (متوسط التأمين)'!$E$22),'مدخلات (متوسط التأمين)'!$J$20,"")))),"")</f>
        <v>0</v>
      </c>
      <c r="N70" s="6">
        <f t="shared" si="13"/>
        <v>552</v>
      </c>
      <c r="O70" s="4">
        <f t="shared" si="1"/>
        <v>5509.4165516832718</v>
      </c>
      <c r="S70" s="9">
        <f t="shared" si="2"/>
        <v>46898</v>
      </c>
      <c r="T70" s="5">
        <f t="shared" si="6"/>
        <v>5509.42</v>
      </c>
      <c r="V70" s="97"/>
    </row>
    <row r="71" spans="1:26" x14ac:dyDescent="0.2">
      <c r="A71" s="1">
        <f t="shared" si="15"/>
        <v>5</v>
      </c>
      <c r="B71" s="16">
        <f t="shared" si="7"/>
        <v>54</v>
      </c>
      <c r="C71" s="9">
        <f t="shared" si="8"/>
        <v>46929</v>
      </c>
      <c r="D71" s="6">
        <f>IFERROR(PPMT('مدخلات (متوسط التأمين)'!$E$18/12,B71,$C$6,'مدخلات (متوسط التأمين)'!$E$17,-$C$13,0)," ")</f>
        <v>-4599.4076636124528</v>
      </c>
      <c r="E71" s="6">
        <f>IFERROR(IPMT('مدخلات (متوسط التأمين)'!$E$18/12,B71,$C$6,'مدخلات (متوسط التأمين)'!$E$17,-$C$13,0)," ")</f>
        <v>-358.00888807081941</v>
      </c>
      <c r="F71" s="6">
        <f t="shared" si="9"/>
        <v>-221981.97195496183</v>
      </c>
      <c r="G71" s="6">
        <f t="shared" si="10"/>
        <v>-45718.52183593488</v>
      </c>
      <c r="H71" s="6">
        <f t="shared" si="4"/>
        <v>-4957.4165516832718</v>
      </c>
      <c r="I71" s="6">
        <f t="shared" si="5"/>
        <v>78018.028045038169</v>
      </c>
      <c r="J71" s="6" t="str">
        <f>IF(B71&lt;&gt;"",IF(AND('مدخلات (متوسط التأمين)'!$H$17="سنوي",MOD(B71,12)=0),'مدخلات (متوسط التأمين)'!$J$17,IF(AND('مدخلات (متوسط التأمين)'!$H$17="القسط (الدفعة) الاول",B71=1),'مدخلات (متوسط التأمين)'!$J$17,IF('مدخلات (متوسط التأمين)'!$H$17="شهري",'مدخلات (متوسط التأمين)'!$J$17,""))),"")</f>
        <v/>
      </c>
      <c r="K71" s="6" t="str">
        <f>IF(B71&lt;&gt;"",IF(AND('مدخلات (متوسط التأمين)'!$H$18="سنوي",MOD(B71,12)=0),'مدخلات (متوسط التأمين)'!$J$18,IF(AND('مدخلات (متوسط التأمين)'!$H$18="القسط (الدفعة) الاول",B71=1),'مدخلات (متوسط التأمين)'!$J$18,IF('مدخلات (متوسط التأمين)'!$H$18="شهري",'مدخلات (متوسط التأمين)'!$J$18,""))),"")</f>
        <v/>
      </c>
      <c r="L71" s="6">
        <f>IF(B71&lt;=$C$6,(IF(B71&lt;&gt;"",IF(AND('مدخلات (متوسط التأمين)'!$H$19="سنوي",MOD(B71,12)=0),'مدخلات (متوسط التأمين)'!$J$19,IF(AND('مدخلات (متوسط التأمين)'!$H$19="القسط (الدفعة) الاول",B71=1),'مدخلات (متوسط التأمين)'!$J$19,IF('مدخلات (متوسط التأمين)'!$H$19="شهري",'مدخلات (متوسط التأمين)'!$J$19,""))),""))," ")</f>
        <v>552</v>
      </c>
      <c r="M71" s="6">
        <f>IF(B71&lt;&gt;"",IF(AND('مدخلات (متوسط التأمين)'!$H$20="سنوي",MOD(B71,12)=0),'مدخلات (متوسط التأمين)'!$J$20,IF(AND('مدخلات (متوسط التأمين)'!$H$20="القسط (الدفعة) الاول",B71=1),'مدخلات (متوسط التأمين)'!$J$20,IF('مدخلات (متوسط التأمين)'!$H$20="شهري",'مدخلات (متوسط التأمين)'!$J$20,IF(AND('مدخلات (متوسط التأمين)'!$H$20="End of the loan",B71='مدخلات (متوسط التأمين)'!$E$22),'مدخلات (متوسط التأمين)'!$J$20,"")))),"")</f>
        <v>0</v>
      </c>
      <c r="N71" s="6">
        <f t="shared" si="13"/>
        <v>552</v>
      </c>
      <c r="O71" s="4">
        <f t="shared" si="1"/>
        <v>5509.4165516832718</v>
      </c>
      <c r="S71" s="9">
        <f t="shared" si="2"/>
        <v>46929</v>
      </c>
      <c r="T71" s="5">
        <f t="shared" si="6"/>
        <v>5509.42</v>
      </c>
      <c r="V71" s="97"/>
    </row>
    <row r="72" spans="1:26" x14ac:dyDescent="0.2">
      <c r="A72" s="1">
        <f t="shared" si="15"/>
        <v>5</v>
      </c>
      <c r="B72" s="16">
        <f t="shared" si="7"/>
        <v>55</v>
      </c>
      <c r="C72" s="9">
        <f t="shared" si="8"/>
        <v>46959</v>
      </c>
      <c r="D72" s="6">
        <f>IFERROR(PPMT('مدخلات (متوسط التأمين)'!$E$18/12,B72,$C$6,'مدخلات (متوسط التأمين)'!$E$17,-$C$13,0)," ")</f>
        <v>-4619.3384301547731</v>
      </c>
      <c r="E72" s="6">
        <f>IFERROR(IPMT('مدخلات (متوسط التأمين)'!$E$18/12,B72,$C$6,'مدخلات (متوسط التأمين)'!$E$17,-$C$13,0)," ")</f>
        <v>-338.0781215284988</v>
      </c>
      <c r="F72" s="6">
        <f t="shared" si="9"/>
        <v>-226601.31038511661</v>
      </c>
      <c r="G72" s="6">
        <f t="shared" si="10"/>
        <v>-46056.599957463382</v>
      </c>
      <c r="H72" s="6">
        <f t="shared" si="4"/>
        <v>-4957.4165516832718</v>
      </c>
      <c r="I72" s="6">
        <f t="shared" si="5"/>
        <v>73398.689614883391</v>
      </c>
      <c r="J72" s="6" t="str">
        <f>IF(B72&lt;&gt;"",IF(AND('مدخلات (متوسط التأمين)'!$H$17="سنوي",MOD(B72,12)=0),'مدخلات (متوسط التأمين)'!$J$17,IF(AND('مدخلات (متوسط التأمين)'!$H$17="القسط (الدفعة) الاول",B72=1),'مدخلات (متوسط التأمين)'!$J$17,IF('مدخلات (متوسط التأمين)'!$H$17="شهري",'مدخلات (متوسط التأمين)'!$J$17,""))),"")</f>
        <v/>
      </c>
      <c r="K72" s="6" t="str">
        <f>IF(B72&lt;&gt;"",IF(AND('مدخلات (متوسط التأمين)'!$H$18="سنوي",MOD(B72,12)=0),'مدخلات (متوسط التأمين)'!$J$18,IF(AND('مدخلات (متوسط التأمين)'!$H$18="القسط (الدفعة) الاول",B72=1),'مدخلات (متوسط التأمين)'!$J$18,IF('مدخلات (متوسط التأمين)'!$H$18="شهري",'مدخلات (متوسط التأمين)'!$J$18,""))),"")</f>
        <v/>
      </c>
      <c r="L72" s="6">
        <f>IF(B72&lt;=$C$6,(IF(B72&lt;&gt;"",IF(AND('مدخلات (متوسط التأمين)'!$H$19="سنوي",MOD(B72,12)=0),'مدخلات (متوسط التأمين)'!$J$19,IF(AND('مدخلات (متوسط التأمين)'!$H$19="القسط (الدفعة) الاول",B72=1),'مدخلات (متوسط التأمين)'!$J$19,IF('مدخلات (متوسط التأمين)'!$H$19="شهري",'مدخلات (متوسط التأمين)'!$J$19,""))),""))," ")</f>
        <v>552</v>
      </c>
      <c r="M72" s="6">
        <f>IF(B72&lt;&gt;"",IF(AND('مدخلات (متوسط التأمين)'!$H$20="سنوي",MOD(B72,12)=0),'مدخلات (متوسط التأمين)'!$J$20,IF(AND('مدخلات (متوسط التأمين)'!$H$20="القسط (الدفعة) الاول",B72=1),'مدخلات (متوسط التأمين)'!$J$20,IF('مدخلات (متوسط التأمين)'!$H$20="شهري",'مدخلات (متوسط التأمين)'!$J$20,IF(AND('مدخلات (متوسط التأمين)'!$H$20="End of the loan",B72='مدخلات (متوسط التأمين)'!$E$22),'مدخلات (متوسط التأمين)'!$J$20,"")))),"")</f>
        <v>0</v>
      </c>
      <c r="N72" s="6">
        <f t="shared" si="13"/>
        <v>552</v>
      </c>
      <c r="O72" s="4">
        <f t="shared" si="1"/>
        <v>5509.4165516832718</v>
      </c>
      <c r="S72" s="9">
        <f t="shared" si="2"/>
        <v>46959</v>
      </c>
      <c r="T72" s="5">
        <f t="shared" si="6"/>
        <v>5509.42</v>
      </c>
      <c r="V72" s="97"/>
    </row>
    <row r="73" spans="1:26" x14ac:dyDescent="0.2">
      <c r="A73" s="1">
        <f t="shared" si="15"/>
        <v>5</v>
      </c>
      <c r="B73" s="16">
        <f t="shared" si="7"/>
        <v>56</v>
      </c>
      <c r="C73" s="9">
        <f t="shared" si="8"/>
        <v>46990</v>
      </c>
      <c r="D73" s="6">
        <f>IFERROR(PPMT('مدخلات (متوسط التأمين)'!$E$18/12,B73,$C$6,'مدخلات (متوسط التأمين)'!$E$17,-$C$13,0)," ")</f>
        <v>-4639.35556335211</v>
      </c>
      <c r="E73" s="6">
        <f>IFERROR(IPMT('مدخلات (متوسط التأمين)'!$E$18/12,B73,$C$6,'مدخلات (متوسط التأمين)'!$E$17,-$C$13,0)," ")</f>
        <v>-318.06098833116147</v>
      </c>
      <c r="F73" s="6">
        <f t="shared" si="9"/>
        <v>-231240.66594846873</v>
      </c>
      <c r="G73" s="6">
        <f t="shared" si="10"/>
        <v>-46374.660945794545</v>
      </c>
      <c r="H73" s="6">
        <f t="shared" si="4"/>
        <v>-4957.4165516832718</v>
      </c>
      <c r="I73" s="6">
        <f t="shared" si="5"/>
        <v>68759.334051531274</v>
      </c>
      <c r="J73" s="6" t="str">
        <f>IF(B73&lt;&gt;"",IF(AND('مدخلات (متوسط التأمين)'!$H$17="سنوي",MOD(B73,12)=0),'مدخلات (متوسط التأمين)'!$J$17,IF(AND('مدخلات (متوسط التأمين)'!$H$17="القسط (الدفعة) الاول",B73=1),'مدخلات (متوسط التأمين)'!$J$17,IF('مدخلات (متوسط التأمين)'!$H$17="شهري",'مدخلات (متوسط التأمين)'!$J$17,""))),"")</f>
        <v/>
      </c>
      <c r="K73" s="6" t="str">
        <f>IF(B73&lt;&gt;"",IF(AND('مدخلات (متوسط التأمين)'!$H$18="سنوي",MOD(B73,12)=0),'مدخلات (متوسط التأمين)'!$J$18,IF(AND('مدخلات (متوسط التأمين)'!$H$18="القسط (الدفعة) الاول",B73=1),'مدخلات (متوسط التأمين)'!$J$18,IF('مدخلات (متوسط التأمين)'!$H$18="شهري",'مدخلات (متوسط التأمين)'!$J$18,""))),"")</f>
        <v/>
      </c>
      <c r="L73" s="6">
        <f>IF(B73&lt;=$C$6,(IF(B73&lt;&gt;"",IF(AND('مدخلات (متوسط التأمين)'!$H$19="سنوي",MOD(B73,12)=0),'مدخلات (متوسط التأمين)'!$J$19,IF(AND('مدخلات (متوسط التأمين)'!$H$19="القسط (الدفعة) الاول",B73=1),'مدخلات (متوسط التأمين)'!$J$19,IF('مدخلات (متوسط التأمين)'!$H$19="شهري",'مدخلات (متوسط التأمين)'!$J$19,""))),""))," ")</f>
        <v>552</v>
      </c>
      <c r="M73" s="6">
        <f>IF(B73&lt;&gt;"",IF(AND('مدخلات (متوسط التأمين)'!$H$20="سنوي",MOD(B73,12)=0),'مدخلات (متوسط التأمين)'!$J$20,IF(AND('مدخلات (متوسط التأمين)'!$H$20="القسط (الدفعة) الاول",B73=1),'مدخلات (متوسط التأمين)'!$J$20,IF('مدخلات (متوسط التأمين)'!$H$20="شهري",'مدخلات (متوسط التأمين)'!$J$20,IF(AND('مدخلات (متوسط التأمين)'!$H$20="End of the loan",B73='مدخلات (متوسط التأمين)'!$E$22),'مدخلات (متوسط التأمين)'!$J$20,"")))),"")</f>
        <v>0</v>
      </c>
      <c r="N73" s="6">
        <f t="shared" si="13"/>
        <v>552</v>
      </c>
      <c r="O73" s="4">
        <f t="shared" si="1"/>
        <v>5509.4165516832718</v>
      </c>
      <c r="S73" s="9">
        <f t="shared" si="2"/>
        <v>46990</v>
      </c>
      <c r="T73" s="5">
        <f t="shared" si="6"/>
        <v>5509.42</v>
      </c>
      <c r="V73" s="97"/>
    </row>
    <row r="74" spans="1:26" x14ac:dyDescent="0.2">
      <c r="A74" s="1">
        <f t="shared" si="15"/>
        <v>5</v>
      </c>
      <c r="B74" s="16">
        <f t="shared" si="7"/>
        <v>57</v>
      </c>
      <c r="C74" s="9">
        <f t="shared" si="8"/>
        <v>47021</v>
      </c>
      <c r="D74" s="6">
        <f>IFERROR(PPMT('مدخلات (متوسط التأمين)'!$E$18/12,B74,$C$6,'مدخلات (متوسط التأمين)'!$E$17,-$C$13,0)," ")</f>
        <v>-4659.4594374599692</v>
      </c>
      <c r="E74" s="6">
        <f>IFERROR(IPMT('مدخلات (متوسط التأمين)'!$E$18/12,B74,$C$6,'مدخلات (متوسط التأمين)'!$E$17,-$C$13,0)," ")</f>
        <v>-297.95711422330231</v>
      </c>
      <c r="F74" s="6">
        <f t="shared" si="9"/>
        <v>-235900.1253859287</v>
      </c>
      <c r="G74" s="6">
        <f t="shared" si="10"/>
        <v>-46672.618060017849</v>
      </c>
      <c r="H74" s="6">
        <f t="shared" si="4"/>
        <v>-4957.4165516832718</v>
      </c>
      <c r="I74" s="6">
        <f t="shared" si="5"/>
        <v>64099.874614071305</v>
      </c>
      <c r="J74" s="6" t="str">
        <f>IF(B74&lt;&gt;"",IF(AND('مدخلات (متوسط التأمين)'!$H$17="سنوي",MOD(B74,12)=0),'مدخلات (متوسط التأمين)'!$J$17,IF(AND('مدخلات (متوسط التأمين)'!$H$17="القسط (الدفعة) الاول",B74=1),'مدخلات (متوسط التأمين)'!$J$17,IF('مدخلات (متوسط التأمين)'!$H$17="شهري",'مدخلات (متوسط التأمين)'!$J$17,""))),"")</f>
        <v/>
      </c>
      <c r="K74" s="6" t="str">
        <f>IF(B74&lt;&gt;"",IF(AND('مدخلات (متوسط التأمين)'!$H$18="سنوي",MOD(B74,12)=0),'مدخلات (متوسط التأمين)'!$J$18,IF(AND('مدخلات (متوسط التأمين)'!$H$18="القسط (الدفعة) الاول",B74=1),'مدخلات (متوسط التأمين)'!$J$18,IF('مدخلات (متوسط التأمين)'!$H$18="شهري",'مدخلات (متوسط التأمين)'!$J$18,""))),"")</f>
        <v/>
      </c>
      <c r="L74" s="6">
        <f>IF(B74&lt;=$C$6,(IF(B74&lt;&gt;"",IF(AND('مدخلات (متوسط التأمين)'!$H$19="سنوي",MOD(B74,12)=0),'مدخلات (متوسط التأمين)'!$J$19,IF(AND('مدخلات (متوسط التأمين)'!$H$19="القسط (الدفعة) الاول",B74=1),'مدخلات (متوسط التأمين)'!$J$19,IF('مدخلات (متوسط التأمين)'!$H$19="شهري",'مدخلات (متوسط التأمين)'!$J$19,""))),""))," ")</f>
        <v>552</v>
      </c>
      <c r="M74" s="6">
        <f>IF(B74&lt;&gt;"",IF(AND('مدخلات (متوسط التأمين)'!$H$20="سنوي",MOD(B74,12)=0),'مدخلات (متوسط التأمين)'!$J$20,IF(AND('مدخلات (متوسط التأمين)'!$H$20="القسط (الدفعة) الاول",B74=1),'مدخلات (متوسط التأمين)'!$J$20,IF('مدخلات (متوسط التأمين)'!$H$20="شهري",'مدخلات (متوسط التأمين)'!$J$20,IF(AND('مدخلات (متوسط التأمين)'!$H$20="End of the loan",B74='مدخلات (متوسط التأمين)'!$E$22),'مدخلات (متوسط التأمين)'!$J$20,"")))),"")</f>
        <v>0</v>
      </c>
      <c r="N74" s="6">
        <f t="shared" si="13"/>
        <v>552</v>
      </c>
      <c r="O74" s="4">
        <f t="shared" si="1"/>
        <v>5509.4165516832718</v>
      </c>
      <c r="S74" s="9">
        <f t="shared" si="2"/>
        <v>47021</v>
      </c>
      <c r="T74" s="5">
        <f t="shared" si="6"/>
        <v>5509.42</v>
      </c>
      <c r="V74" s="97"/>
    </row>
    <row r="75" spans="1:26" x14ac:dyDescent="0.2">
      <c r="A75" s="1">
        <f t="shared" si="15"/>
        <v>5</v>
      </c>
      <c r="B75" s="16">
        <f t="shared" si="7"/>
        <v>58</v>
      </c>
      <c r="C75" s="9">
        <f t="shared" si="8"/>
        <v>47051</v>
      </c>
      <c r="D75" s="6">
        <f>IFERROR(PPMT('مدخلات (متوسط التأمين)'!$E$18/12,B75,$C$6,'مدخلات (متوسط التأمين)'!$E$17,-$C$13,0)," ")</f>
        <v>-4679.6504283556296</v>
      </c>
      <c r="E75" s="6">
        <f>IFERROR(IPMT('مدخلات (متوسط التأمين)'!$E$18/12,B75,$C$6,'مدخلات (متوسط التأمين)'!$E$17,-$C$13,0)," ")</f>
        <v>-277.76612332764245</v>
      </c>
      <c r="F75" s="6">
        <f t="shared" si="9"/>
        <v>-240579.77581428434</v>
      </c>
      <c r="G75" s="6">
        <f t="shared" si="10"/>
        <v>-46950.384183345494</v>
      </c>
      <c r="H75" s="6">
        <f t="shared" si="4"/>
        <v>-4957.4165516832718</v>
      </c>
      <c r="I75" s="6">
        <f t="shared" si="5"/>
        <v>59420.224185715662</v>
      </c>
      <c r="J75" s="6" t="str">
        <f>IF(B75&lt;&gt;"",IF(AND('مدخلات (متوسط التأمين)'!$H$17="سنوي",MOD(B75,12)=0),'مدخلات (متوسط التأمين)'!$J$17,IF(AND('مدخلات (متوسط التأمين)'!$H$17="القسط (الدفعة) الاول",B75=1),'مدخلات (متوسط التأمين)'!$J$17,IF('مدخلات (متوسط التأمين)'!$H$17="شهري",'مدخلات (متوسط التأمين)'!$J$17,""))),"")</f>
        <v/>
      </c>
      <c r="K75" s="6" t="str">
        <f>IF(B75&lt;&gt;"",IF(AND('مدخلات (متوسط التأمين)'!$H$18="سنوي",MOD(B75,12)=0),'مدخلات (متوسط التأمين)'!$J$18,IF(AND('مدخلات (متوسط التأمين)'!$H$18="القسط (الدفعة) الاول",B75=1),'مدخلات (متوسط التأمين)'!$J$18,IF('مدخلات (متوسط التأمين)'!$H$18="شهري",'مدخلات (متوسط التأمين)'!$J$18,""))),"")</f>
        <v/>
      </c>
      <c r="L75" s="6">
        <f>IF(B75&lt;=$C$6,(IF(B75&lt;&gt;"",IF(AND('مدخلات (متوسط التأمين)'!$H$19="سنوي",MOD(B75,12)=0),'مدخلات (متوسط التأمين)'!$J$19,IF(AND('مدخلات (متوسط التأمين)'!$H$19="القسط (الدفعة) الاول",B75=1),'مدخلات (متوسط التأمين)'!$J$19,IF('مدخلات (متوسط التأمين)'!$H$19="شهري",'مدخلات (متوسط التأمين)'!$J$19,""))),""))," ")</f>
        <v>552</v>
      </c>
      <c r="M75" s="6">
        <f>IF(B75&lt;&gt;"",IF(AND('مدخلات (متوسط التأمين)'!$H$20="سنوي",MOD(B75,12)=0),'مدخلات (متوسط التأمين)'!$J$20,IF(AND('مدخلات (متوسط التأمين)'!$H$20="القسط (الدفعة) الاول",B75=1),'مدخلات (متوسط التأمين)'!$J$20,IF('مدخلات (متوسط التأمين)'!$H$20="شهري",'مدخلات (متوسط التأمين)'!$J$20,IF(AND('مدخلات (متوسط التأمين)'!$H$20="End of the loan",B75='مدخلات (متوسط التأمين)'!$E$22),'مدخلات (متوسط التأمين)'!$J$20,"")))),"")</f>
        <v>0</v>
      </c>
      <c r="N75" s="6">
        <f t="shared" si="13"/>
        <v>552</v>
      </c>
      <c r="O75" s="4">
        <f t="shared" si="1"/>
        <v>5509.4165516832718</v>
      </c>
      <c r="S75" s="9">
        <f t="shared" si="2"/>
        <v>47051</v>
      </c>
      <c r="T75" s="5">
        <f t="shared" si="6"/>
        <v>5509.42</v>
      </c>
      <c r="V75" s="97"/>
    </row>
    <row r="76" spans="1:26" x14ac:dyDescent="0.2">
      <c r="A76" s="1">
        <f t="shared" si="15"/>
        <v>5</v>
      </c>
      <c r="B76" s="16">
        <f t="shared" si="7"/>
        <v>59</v>
      </c>
      <c r="C76" s="9">
        <f t="shared" si="8"/>
        <v>47082</v>
      </c>
      <c r="D76" s="6">
        <f>IFERROR(PPMT('مدخلات (متوسط التأمين)'!$E$18/12,B76,$C$6,'مدخلات (متوسط التأمين)'!$E$17,-$C$13,0)," ")</f>
        <v>-4699.9289135451709</v>
      </c>
      <c r="E76" s="6">
        <f>IFERROR(IPMT('مدخلات (متوسط التأمين)'!$E$18/12,B76,$C$6,'مدخلات (متوسط التأمين)'!$E$17,-$C$13,0)," ")</f>
        <v>-257.48763813810137</v>
      </c>
      <c r="F76" s="6">
        <f t="shared" si="9"/>
        <v>-245279.70472782952</v>
      </c>
      <c r="G76" s="6">
        <f t="shared" si="10"/>
        <v>-47207.871821483597</v>
      </c>
      <c r="H76" s="6">
        <f t="shared" si="4"/>
        <v>-4957.4165516832727</v>
      </c>
      <c r="I76" s="6">
        <f t="shared" si="5"/>
        <v>54720.295272170479</v>
      </c>
      <c r="J76" s="6" t="str">
        <f>IF(B76&lt;&gt;"",IF(AND('مدخلات (متوسط التأمين)'!$H$17="سنوي",MOD(B76,12)=0),'مدخلات (متوسط التأمين)'!$J$17,IF(AND('مدخلات (متوسط التأمين)'!$H$17="القسط (الدفعة) الاول",B76=1),'مدخلات (متوسط التأمين)'!$J$17,IF('مدخلات (متوسط التأمين)'!$H$17="شهري",'مدخلات (متوسط التأمين)'!$J$17,""))),"")</f>
        <v/>
      </c>
      <c r="K76" s="6" t="str">
        <f>IF(B76&lt;&gt;"",IF(AND('مدخلات (متوسط التأمين)'!$H$18="سنوي",MOD(B76,12)=0),'مدخلات (متوسط التأمين)'!$J$18,IF(AND('مدخلات (متوسط التأمين)'!$H$18="القسط (الدفعة) الاول",B76=1),'مدخلات (متوسط التأمين)'!$J$18,IF('مدخلات (متوسط التأمين)'!$H$18="شهري",'مدخلات (متوسط التأمين)'!$J$18,""))),"")</f>
        <v/>
      </c>
      <c r="L76" s="6">
        <f>IF(B76&lt;=$C$6,(IF(B76&lt;&gt;"",IF(AND('مدخلات (متوسط التأمين)'!$H$19="سنوي",MOD(B76,12)=0),'مدخلات (متوسط التأمين)'!$J$19,IF(AND('مدخلات (متوسط التأمين)'!$H$19="القسط (الدفعة) الاول",B76=1),'مدخلات (متوسط التأمين)'!$J$19,IF('مدخلات (متوسط التأمين)'!$H$19="شهري",'مدخلات (متوسط التأمين)'!$J$19,""))),""))," ")</f>
        <v>552</v>
      </c>
      <c r="M76" s="6">
        <f>IF(B76&lt;&gt;"",IF(AND('مدخلات (متوسط التأمين)'!$H$20="سنوي",MOD(B76,12)=0),'مدخلات (متوسط التأمين)'!$J$20,IF(AND('مدخلات (متوسط التأمين)'!$H$20="القسط (الدفعة) الاول",B76=1),'مدخلات (متوسط التأمين)'!$J$20,IF('مدخلات (متوسط التأمين)'!$H$20="شهري",'مدخلات (متوسط التأمين)'!$J$20,IF(AND('مدخلات (متوسط التأمين)'!$H$20="End of the loan",B76='مدخلات (متوسط التأمين)'!$E$22),'مدخلات (متوسط التأمين)'!$J$20,"")))),"")</f>
        <v>0</v>
      </c>
      <c r="N76" s="6">
        <f t="shared" si="13"/>
        <v>552</v>
      </c>
      <c r="O76" s="4">
        <f t="shared" si="1"/>
        <v>5509.4165516832727</v>
      </c>
      <c r="S76" s="9">
        <f t="shared" si="2"/>
        <v>47082</v>
      </c>
      <c r="T76" s="5">
        <f t="shared" si="6"/>
        <v>5509.42</v>
      </c>
      <c r="V76" s="97"/>
    </row>
    <row r="77" spans="1:26" x14ac:dyDescent="0.2">
      <c r="A77" s="1">
        <f t="shared" si="15"/>
        <v>5</v>
      </c>
      <c r="B77" s="16">
        <f t="shared" si="7"/>
        <v>60</v>
      </c>
      <c r="C77" s="9">
        <f t="shared" si="8"/>
        <v>47112</v>
      </c>
      <c r="D77" s="6">
        <f>IFERROR(PPMT('مدخلات (متوسط التأمين)'!$E$18/12,B77,$C$6,'مدخلات (متوسط التأمين)'!$E$17,-$C$13,0)," ")</f>
        <v>-4720.2952721705324</v>
      </c>
      <c r="E77" s="6">
        <f>IFERROR(IPMT('مدخلات (متوسط التأمين)'!$E$18/12,B77,$C$6,'مدخلات (متوسط التأمين)'!$E$17,-$C$13,0)," ")</f>
        <v>-237.12127951273894</v>
      </c>
      <c r="F77" s="6">
        <f t="shared" si="9"/>
        <v>-250000.00000000006</v>
      </c>
      <c r="G77" s="6">
        <f t="shared" si="10"/>
        <v>-47444.993100996333</v>
      </c>
      <c r="H77" s="6">
        <f t="shared" si="4"/>
        <v>-54957.416551683273</v>
      </c>
      <c r="I77" s="6">
        <f t="shared" si="5"/>
        <v>49999.999999999942</v>
      </c>
      <c r="J77" s="6" t="str">
        <f>IF(B77&lt;&gt;"",IF(AND('مدخلات (متوسط التأمين)'!$H$17="سنوي",MOD(B77,12)=0),'مدخلات (متوسط التأمين)'!$J$17,IF(AND('مدخلات (متوسط التأمين)'!$H$17="القسط (الدفعة) الاول",B77=1),'مدخلات (متوسط التأمين)'!$J$17,IF('مدخلات (متوسط التأمين)'!$H$17="شهري",'مدخلات (متوسط التأمين)'!$J$17,""))),"")</f>
        <v/>
      </c>
      <c r="K77" s="6">
        <f>IF(B77&lt;&gt;"",IF(AND('مدخلات (متوسط التأمين)'!$H$18="سنوي",MOD(B77,12)=0),'مدخلات (متوسط التأمين)'!$J$18,IF(AND('مدخلات (متوسط التأمين)'!$H$18="القسط (الدفعة) الاول",B77=1),'مدخلات (متوسط التأمين)'!$J$18,IF('مدخلات (متوسط التأمين)'!$H$18="شهري",'مدخلات (متوسط التأمين)'!$J$18,""))),"")</f>
        <v>0</v>
      </c>
      <c r="L77" s="6">
        <f>IF(B77&lt;=$C$6,(IF(B77&lt;&gt;"",IF(AND('مدخلات (متوسط التأمين)'!$H$19="سنوي",MOD(B77,12)=0),'مدخلات (متوسط التأمين)'!$J$19,IF(AND('مدخلات (متوسط التأمين)'!$H$19="القسط (الدفعة) الاول",B77=1),'مدخلات (متوسط التأمين)'!$J$19,IF('مدخلات (متوسط التأمين)'!$H$19="شهري",'مدخلات (متوسط التأمين)'!$J$19,""))),""))," ")</f>
        <v>552</v>
      </c>
      <c r="M77" s="6">
        <f>IF(B77&lt;&gt;"",IF(AND('مدخلات (متوسط التأمين)'!$H$20="سنوي",MOD(B77,12)=0),'مدخلات (متوسط التأمين)'!$J$20,IF(AND('مدخلات (متوسط التأمين)'!$H$20="القسط (الدفعة) الاول",B77=1),'مدخلات (متوسط التأمين)'!$J$20,IF('مدخلات (متوسط التأمين)'!$H$20="شهري",'مدخلات (متوسط التأمين)'!$J$20,IF(AND('مدخلات (متوسط التأمين)'!$H$20="End of the loan",B77='مدخلات (متوسط التأمين)'!$E$22),'مدخلات (متوسط التأمين)'!$J$20,"")))),"")</f>
        <v>0</v>
      </c>
      <c r="N77" s="6">
        <f t="shared" si="13"/>
        <v>552</v>
      </c>
      <c r="O77" s="4">
        <f t="shared" si="1"/>
        <v>55509.416551683273</v>
      </c>
      <c r="S77" s="9">
        <f t="shared" si="2"/>
        <v>47112</v>
      </c>
      <c r="T77" s="5">
        <f t="shared" si="6"/>
        <v>55509.42</v>
      </c>
      <c r="V77" s="97"/>
    </row>
    <row r="78" spans="1:26" ht="13.35" customHeight="1" x14ac:dyDescent="0.2">
      <c r="B78" s="180"/>
      <c r="C78" s="181"/>
      <c r="D78" s="182"/>
      <c r="E78" s="182"/>
      <c r="F78" s="182"/>
      <c r="G78" s="182"/>
      <c r="H78" s="182"/>
      <c r="I78" s="182"/>
      <c r="J78" s="182"/>
      <c r="K78" s="182"/>
      <c r="L78" s="182"/>
      <c r="M78" s="182"/>
      <c r="N78" s="182"/>
      <c r="O78" s="183"/>
      <c r="P78" s="11"/>
      <c r="Q78" s="11"/>
      <c r="R78" s="11"/>
      <c r="S78" s="181"/>
      <c r="T78" s="184"/>
      <c r="U78" s="185"/>
      <c r="V78" s="197"/>
      <c r="W78" s="11"/>
      <c r="X78" s="11"/>
      <c r="Y78" s="11"/>
      <c r="Z78" s="11"/>
    </row>
    <row r="79" spans="1:26" x14ac:dyDescent="0.2">
      <c r="B79" s="32"/>
      <c r="C79" s="62"/>
      <c r="D79" s="186"/>
      <c r="E79" s="186"/>
      <c r="F79" s="186"/>
      <c r="G79" s="186"/>
      <c r="H79" s="186"/>
      <c r="I79" s="186"/>
      <c r="J79" s="186"/>
      <c r="K79" s="186"/>
      <c r="L79" s="186"/>
      <c r="M79" s="186"/>
      <c r="N79" s="186"/>
      <c r="O79" s="67"/>
      <c r="P79" s="11"/>
      <c r="Q79" s="11"/>
      <c r="R79" s="11"/>
      <c r="S79" s="62"/>
      <c r="T79" s="187"/>
      <c r="U79" s="185"/>
      <c r="V79" s="197"/>
      <c r="W79" s="11"/>
      <c r="X79" s="11"/>
      <c r="Y79" s="11"/>
      <c r="Z79" s="11"/>
    </row>
    <row r="80" spans="1:26" x14ac:dyDescent="0.2">
      <c r="B80" s="32"/>
      <c r="C80" s="62"/>
      <c r="D80" s="186"/>
      <c r="E80" s="186"/>
      <c r="F80" s="186"/>
      <c r="G80" s="186"/>
      <c r="H80" s="186"/>
      <c r="I80" s="186"/>
      <c r="J80" s="186"/>
      <c r="K80" s="186"/>
      <c r="L80" s="186"/>
      <c r="M80" s="186"/>
      <c r="N80" s="186"/>
      <c r="O80" s="67"/>
      <c r="P80" s="11"/>
      <c r="Q80" s="11"/>
      <c r="R80" s="11"/>
      <c r="S80" s="62"/>
      <c r="T80" s="187"/>
      <c r="U80" s="185"/>
      <c r="V80" s="197"/>
      <c r="W80" s="11"/>
      <c r="X80" s="11"/>
      <c r="Y80" s="11"/>
      <c r="Z80" s="11"/>
    </row>
    <row r="81" spans="2:26" x14ac:dyDescent="0.2">
      <c r="B81" s="32"/>
      <c r="C81" s="62"/>
      <c r="D81" s="186"/>
      <c r="E81" s="186"/>
      <c r="F81" s="186"/>
      <c r="G81" s="186"/>
      <c r="H81" s="186"/>
      <c r="I81" s="186"/>
      <c r="J81" s="186"/>
      <c r="K81" s="186"/>
      <c r="L81" s="186"/>
      <c r="M81" s="186"/>
      <c r="N81" s="186"/>
      <c r="O81" s="67"/>
      <c r="P81" s="11"/>
      <c r="Q81" s="11"/>
      <c r="R81" s="11"/>
      <c r="S81" s="62"/>
      <c r="T81" s="187"/>
      <c r="U81" s="185"/>
      <c r="V81" s="197"/>
      <c r="W81" s="11"/>
      <c r="X81" s="11"/>
      <c r="Y81" s="11"/>
      <c r="Z81" s="11"/>
    </row>
    <row r="82" spans="2:26" x14ac:dyDescent="0.2">
      <c r="B82" s="32"/>
      <c r="C82" s="62"/>
      <c r="D82" s="186"/>
      <c r="E82" s="186"/>
      <c r="F82" s="186"/>
      <c r="G82" s="186"/>
      <c r="H82" s="186"/>
      <c r="I82" s="186"/>
      <c r="J82" s="186"/>
      <c r="K82" s="186"/>
      <c r="L82" s="186"/>
      <c r="M82" s="186"/>
      <c r="N82" s="186"/>
      <c r="O82" s="67"/>
      <c r="P82" s="11"/>
      <c r="Q82" s="11"/>
      <c r="R82" s="11"/>
      <c r="S82" s="62"/>
      <c r="T82" s="187"/>
      <c r="U82" s="185"/>
      <c r="V82" s="197"/>
      <c r="W82" s="11"/>
      <c r="X82" s="11"/>
      <c r="Y82" s="11"/>
      <c r="Z82" s="11"/>
    </row>
    <row r="83" spans="2:26" x14ac:dyDescent="0.2">
      <c r="B83" s="11"/>
      <c r="C83" s="11"/>
      <c r="D83" s="67"/>
      <c r="E83" s="11"/>
      <c r="F83" s="11"/>
      <c r="G83" s="11"/>
      <c r="H83" s="67"/>
      <c r="I83" s="11"/>
      <c r="J83" s="11"/>
      <c r="K83" s="11"/>
      <c r="L83" s="67"/>
      <c r="M83" s="11"/>
      <c r="N83" s="11"/>
      <c r="O83" s="11"/>
      <c r="P83" s="11"/>
      <c r="Q83" s="11"/>
      <c r="R83" s="11"/>
      <c r="S83" s="11"/>
      <c r="T83" s="11"/>
      <c r="U83" s="185"/>
      <c r="V83" s="11"/>
      <c r="W83" s="11"/>
      <c r="X83" s="11"/>
      <c r="Y83" s="11"/>
      <c r="Z83" s="11"/>
    </row>
    <row r="84" spans="2:26" x14ac:dyDescent="0.2">
      <c r="B84" s="11"/>
      <c r="C84" s="11"/>
      <c r="D84" s="11"/>
      <c r="E84" s="11"/>
      <c r="F84" s="11"/>
      <c r="G84" s="11"/>
      <c r="H84" s="11"/>
      <c r="I84" s="11"/>
      <c r="J84" s="11"/>
      <c r="K84" s="11"/>
      <c r="L84" s="11"/>
      <c r="M84" s="11"/>
      <c r="N84" s="11"/>
      <c r="O84" s="11"/>
      <c r="P84" s="11"/>
      <c r="Q84" s="11"/>
      <c r="R84" s="11"/>
      <c r="S84" s="11"/>
      <c r="T84" s="11"/>
      <c r="U84" s="185"/>
      <c r="V84" s="11"/>
      <c r="W84" s="11"/>
      <c r="X84" s="11"/>
      <c r="Y84" s="11"/>
      <c r="Z84" s="11"/>
    </row>
    <row r="85" spans="2:26" x14ac:dyDescent="0.2">
      <c r="B85" s="11"/>
      <c r="C85" s="11"/>
      <c r="D85" s="11"/>
      <c r="E85" s="11"/>
      <c r="F85" s="11"/>
      <c r="G85" s="11"/>
      <c r="H85" s="11"/>
      <c r="I85" s="11"/>
      <c r="J85" s="11"/>
      <c r="K85" s="11"/>
      <c r="L85" s="11"/>
      <c r="M85" s="11"/>
      <c r="N85" s="11"/>
      <c r="O85" s="11"/>
      <c r="P85" s="11"/>
      <c r="Q85" s="11"/>
      <c r="R85" s="11"/>
      <c r="S85" s="11"/>
      <c r="T85" s="11"/>
      <c r="U85" s="185"/>
      <c r="V85" s="11"/>
      <c r="W85" s="11"/>
      <c r="X85" s="11"/>
      <c r="Y85" s="11"/>
      <c r="Z85" s="11"/>
    </row>
    <row r="86" spans="2:26" x14ac:dyDescent="0.2">
      <c r="B86" s="11"/>
      <c r="C86" s="11"/>
      <c r="D86" s="11"/>
      <c r="E86" s="11"/>
      <c r="F86" s="11"/>
      <c r="G86" s="11"/>
      <c r="H86" s="11"/>
      <c r="I86" s="11"/>
      <c r="J86" s="11"/>
      <c r="K86" s="11"/>
      <c r="L86" s="11"/>
      <c r="M86" s="11"/>
      <c r="N86" s="11"/>
      <c r="O86" s="11"/>
      <c r="P86" s="11"/>
      <c r="Q86" s="11"/>
      <c r="R86" s="11"/>
      <c r="S86" s="11"/>
      <c r="T86" s="11"/>
      <c r="U86" s="185"/>
      <c r="V86" s="11"/>
      <c r="W86" s="11"/>
      <c r="X86" s="11"/>
      <c r="Y86" s="11"/>
      <c r="Z86" s="11"/>
    </row>
  </sheetData>
  <mergeCells count="4">
    <mergeCell ref="B2:O2"/>
    <mergeCell ref="B4:F4"/>
    <mergeCell ref="H15:I15"/>
    <mergeCell ref="S15:T15"/>
  </mergeCells>
  <pageMargins left="0.7" right="0.7" top="0.75" bottom="0.75" header="0.3" footer="0.3"/>
  <pageSetup orientation="portrait" r:id="rId1"/>
  <headerFooter>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sheetPr>
  <dimension ref="A2:S87"/>
  <sheetViews>
    <sheetView showGridLines="0" rightToLeft="1" tabSelected="1" zoomScaleNormal="100" zoomScalePageLayoutView="89" workbookViewId="0">
      <selection activeCell="H1" sqref="H1"/>
    </sheetView>
  </sheetViews>
  <sheetFormatPr defaultColWidth="0" defaultRowHeight="14.1" customHeight="1" x14ac:dyDescent="0.2"/>
  <cols>
    <col min="1" max="1" width="2.5546875" style="1" customWidth="1"/>
    <col min="2" max="2" width="6.44140625" style="1" customWidth="1"/>
    <col min="3" max="3" width="4.44140625" style="1" customWidth="1"/>
    <col min="4" max="4" width="27.109375" style="1" bestFit="1" customWidth="1"/>
    <col min="5" max="5" width="23.109375" style="1" bestFit="1" customWidth="1"/>
    <col min="6" max="6" width="12.44140625" style="1" customWidth="1"/>
    <col min="7" max="7" width="25.109375" style="1" bestFit="1" customWidth="1"/>
    <col min="8" max="9" width="21.88671875" style="1" customWidth="1"/>
    <col min="10" max="10" width="28.88671875" style="1" bestFit="1" customWidth="1"/>
    <col min="11" max="11" width="17.44140625" style="1" customWidth="1"/>
    <col min="12" max="13" width="18.5546875" style="30" bestFit="1" customWidth="1"/>
    <col min="14" max="14" width="8.44140625" style="1" bestFit="1" customWidth="1"/>
    <col min="15" max="15" width="6.88671875" style="1" bestFit="1" customWidth="1"/>
    <col min="16" max="16" width="4" style="1" customWidth="1"/>
    <col min="17" max="17" width="0" style="1" hidden="1" customWidth="1"/>
    <col min="18" max="16384" width="8.88671875" style="1" hidden="1"/>
  </cols>
  <sheetData>
    <row r="2" spans="2:19" ht="14.1" customHeight="1" x14ac:dyDescent="0.2">
      <c r="B2" s="61" t="s">
        <v>47</v>
      </c>
      <c r="J2" s="61" t="s">
        <v>49</v>
      </c>
      <c r="L2" s="1"/>
    </row>
    <row r="3" spans="2:19" ht="18" customHeight="1" x14ac:dyDescent="0.2">
      <c r="B3" s="214" t="s">
        <v>146</v>
      </c>
      <c r="C3" s="214"/>
      <c r="D3" s="214"/>
      <c r="E3" s="214"/>
      <c r="F3" s="214"/>
      <c r="G3" s="214"/>
      <c r="H3" s="214"/>
      <c r="J3" s="51"/>
      <c r="K3" s="205" t="s">
        <v>38</v>
      </c>
      <c r="L3" s="205"/>
      <c r="M3" s="205"/>
      <c r="N3" s="205"/>
    </row>
    <row r="4" spans="2:19" ht="18" customHeight="1" x14ac:dyDescent="0.2">
      <c r="B4" s="214"/>
      <c r="C4" s="214"/>
      <c r="D4" s="214"/>
      <c r="E4" s="214"/>
      <c r="F4" s="214"/>
      <c r="G4" s="214"/>
      <c r="H4" s="214"/>
      <c r="J4" s="52"/>
      <c r="K4" s="205" t="s">
        <v>39</v>
      </c>
      <c r="L4" s="205"/>
      <c r="M4" s="205"/>
      <c r="N4" s="205"/>
    </row>
    <row r="5" spans="2:19" ht="18" customHeight="1" x14ac:dyDescent="0.2">
      <c r="B5" s="214"/>
      <c r="C5" s="214"/>
      <c r="D5" s="214"/>
      <c r="E5" s="214"/>
      <c r="F5" s="214"/>
      <c r="G5" s="214"/>
      <c r="H5" s="214"/>
      <c r="J5" s="3"/>
      <c r="K5" s="205" t="s">
        <v>134</v>
      </c>
      <c r="L5" s="205"/>
      <c r="M5" s="205"/>
      <c r="N5" s="205"/>
    </row>
    <row r="6" spans="2:19" ht="18" customHeight="1" x14ac:dyDescent="0.2">
      <c r="B6" s="214"/>
      <c r="C6" s="214"/>
      <c r="D6" s="214"/>
      <c r="E6" s="214"/>
      <c r="F6" s="214"/>
      <c r="G6" s="214"/>
      <c r="H6" s="214"/>
      <c r="J6" s="53"/>
      <c r="K6" s="205" t="s">
        <v>83</v>
      </c>
      <c r="L6" s="205"/>
      <c r="M6" s="205"/>
      <c r="N6" s="205"/>
      <c r="Q6" s="50"/>
      <c r="R6" s="50"/>
      <c r="S6" s="50"/>
    </row>
    <row r="7" spans="2:19" ht="18" customHeight="1" x14ac:dyDescent="0.2">
      <c r="B7" s="214"/>
      <c r="C7" s="214"/>
      <c r="D7" s="214"/>
      <c r="E7" s="214"/>
      <c r="F7" s="214"/>
      <c r="G7" s="214"/>
      <c r="H7" s="214"/>
      <c r="J7" s="54"/>
      <c r="K7" s="205" t="s">
        <v>84</v>
      </c>
      <c r="L7" s="205"/>
      <c r="M7" s="205"/>
      <c r="N7" s="205"/>
    </row>
    <row r="8" spans="2:19" ht="18" customHeight="1" x14ac:dyDescent="0.2">
      <c r="B8" s="214"/>
      <c r="C8" s="214"/>
      <c r="D8" s="214"/>
      <c r="E8" s="214"/>
      <c r="F8" s="214"/>
      <c r="G8" s="214"/>
      <c r="H8" s="214"/>
      <c r="J8" s="55"/>
      <c r="K8" s="205" t="s">
        <v>85</v>
      </c>
      <c r="L8" s="205"/>
      <c r="M8" s="205"/>
      <c r="N8" s="205"/>
    </row>
    <row r="9" spans="2:19" ht="18" customHeight="1" x14ac:dyDescent="0.2">
      <c r="B9" s="214"/>
      <c r="C9" s="214"/>
      <c r="D9" s="214"/>
      <c r="E9" s="214"/>
      <c r="F9" s="214"/>
      <c r="G9" s="214"/>
      <c r="H9" s="214"/>
      <c r="J9" s="60"/>
      <c r="K9" s="205" t="s">
        <v>86</v>
      </c>
      <c r="L9" s="205"/>
      <c r="M9" s="205"/>
      <c r="N9" s="205"/>
    </row>
    <row r="10" spans="2:19" ht="18" customHeight="1" x14ac:dyDescent="0.2">
      <c r="B10" s="214"/>
      <c r="C10" s="214"/>
      <c r="D10" s="214"/>
      <c r="E10" s="214"/>
      <c r="F10" s="214"/>
      <c r="G10" s="214"/>
      <c r="H10" s="214"/>
      <c r="J10" s="56"/>
      <c r="K10" s="205" t="s">
        <v>40</v>
      </c>
      <c r="L10" s="205"/>
      <c r="M10" s="205"/>
      <c r="N10" s="205"/>
    </row>
    <row r="11" spans="2:19" ht="18" customHeight="1" x14ac:dyDescent="0.2">
      <c r="B11" s="214"/>
      <c r="C11" s="214"/>
      <c r="D11" s="214"/>
      <c r="E11" s="214"/>
      <c r="F11" s="214"/>
      <c r="G11" s="214"/>
      <c r="H11" s="214"/>
      <c r="L11" s="1"/>
    </row>
    <row r="12" spans="2:19" ht="14.1" customHeight="1" thickBot="1" x14ac:dyDescent="0.25"/>
    <row r="13" spans="2:19" ht="14.1" customHeight="1" x14ac:dyDescent="0.2">
      <c r="B13" s="18"/>
      <c r="C13" s="19"/>
      <c r="D13" s="19"/>
      <c r="E13" s="19"/>
      <c r="F13" s="19"/>
      <c r="G13" s="19"/>
      <c r="H13" s="19"/>
      <c r="I13" s="19"/>
      <c r="J13" s="19"/>
      <c r="K13" s="19"/>
      <c r="L13" s="31"/>
      <c r="M13" s="31"/>
      <c r="N13" s="20"/>
    </row>
    <row r="14" spans="2:19" ht="14.1" customHeight="1" x14ac:dyDescent="0.2">
      <c r="B14" s="21"/>
      <c r="C14" s="209" t="s">
        <v>41</v>
      </c>
      <c r="D14" s="209"/>
      <c r="E14" s="209"/>
      <c r="F14" s="209"/>
      <c r="G14" s="209"/>
      <c r="H14" s="209"/>
      <c r="I14" s="209"/>
      <c r="J14" s="209"/>
      <c r="K14" s="209"/>
      <c r="L14" s="209"/>
      <c r="M14" s="209"/>
      <c r="N14" s="22"/>
    </row>
    <row r="15" spans="2:19" ht="14.1" customHeight="1" x14ac:dyDescent="0.2">
      <c r="B15" s="21"/>
      <c r="C15" s="11"/>
      <c r="D15" s="11"/>
      <c r="E15" s="11"/>
      <c r="F15" s="11"/>
      <c r="G15" s="11"/>
      <c r="H15" s="11"/>
      <c r="I15" s="11"/>
      <c r="J15" s="11"/>
      <c r="K15" s="11"/>
      <c r="L15" s="32"/>
      <c r="M15" s="32"/>
      <c r="N15" s="22"/>
    </row>
    <row r="16" spans="2:19" ht="39.6" customHeight="1" x14ac:dyDescent="0.2">
      <c r="B16" s="21"/>
      <c r="C16" s="11"/>
      <c r="D16" s="210" t="s">
        <v>11</v>
      </c>
      <c r="E16" s="211"/>
      <c r="F16" s="27"/>
      <c r="G16" s="28" t="s">
        <v>14</v>
      </c>
      <c r="H16" s="28" t="s">
        <v>16</v>
      </c>
      <c r="I16" s="29" t="s">
        <v>87</v>
      </c>
      <c r="J16" s="29" t="s">
        <v>17</v>
      </c>
      <c r="K16" s="11"/>
      <c r="L16" s="28" t="s">
        <v>18</v>
      </c>
      <c r="N16" s="22"/>
    </row>
    <row r="17" spans="2:14" ht="14.1" customHeight="1" x14ac:dyDescent="0.2">
      <c r="B17" s="21"/>
      <c r="C17" s="11"/>
      <c r="D17" s="10" t="s">
        <v>78</v>
      </c>
      <c r="E17" s="147">
        <v>20000</v>
      </c>
      <c r="F17" s="11"/>
      <c r="G17" s="10" t="s">
        <v>9</v>
      </c>
      <c r="H17" s="151" t="s">
        <v>68</v>
      </c>
      <c r="I17" s="152">
        <v>1000</v>
      </c>
      <c r="J17" s="75">
        <f>IF(H17="سنوي",I17/($E$22/12),IF(H17="شهري",I17/$E$22,I17))</f>
        <v>1000</v>
      </c>
      <c r="K17" s="11"/>
      <c r="L17" s="57">
        <f ca="1">IFERROR('التمويل الشخصي'!F6,"")</f>
        <v>5.426354706287384E-2</v>
      </c>
      <c r="N17" s="22"/>
    </row>
    <row r="18" spans="2:14" ht="14.1" customHeight="1" x14ac:dyDescent="0.2">
      <c r="B18" s="21"/>
      <c r="C18" s="11"/>
      <c r="D18" s="10" t="s">
        <v>125</v>
      </c>
      <c r="E18" s="148">
        <v>3.2000000000000001E-2</v>
      </c>
      <c r="F18" s="11"/>
      <c r="G18" s="10" t="s">
        <v>10</v>
      </c>
      <c r="H18" s="151" t="s">
        <v>71</v>
      </c>
      <c r="I18" s="153">
        <v>0</v>
      </c>
      <c r="J18" s="75">
        <f>IF(H18="سنوي",I18/($E$22/12),IF(H18="شهري",I18/$E$22,I18))</f>
        <v>0</v>
      </c>
      <c r="K18" s="11"/>
      <c r="N18" s="22"/>
    </row>
    <row r="19" spans="2:14" ht="14.1" customHeight="1" x14ac:dyDescent="0.2">
      <c r="B19" s="21"/>
      <c r="C19" s="11"/>
      <c r="D19" s="63"/>
      <c r="E19" s="11"/>
      <c r="F19" s="11"/>
      <c r="G19" s="10" t="s">
        <v>8</v>
      </c>
      <c r="H19" s="151" t="s">
        <v>66</v>
      </c>
      <c r="I19" s="153">
        <v>0</v>
      </c>
      <c r="J19" s="75">
        <f>IF(H19="سنوي",I19/($E$22/12),IF(H19="شهري",I19/$E$22,I19))</f>
        <v>0</v>
      </c>
      <c r="K19" s="11"/>
      <c r="L19" s="99"/>
      <c r="N19" s="22"/>
    </row>
    <row r="20" spans="2:14" ht="14.1" customHeight="1" x14ac:dyDescent="0.2">
      <c r="B20" s="21"/>
      <c r="C20" s="11"/>
      <c r="D20" s="11"/>
      <c r="E20" s="11"/>
      <c r="F20" s="11"/>
      <c r="G20" s="206" t="s">
        <v>88</v>
      </c>
      <c r="H20" s="207"/>
      <c r="I20" s="86">
        <f>SUM(I17:I19)</f>
        <v>1000</v>
      </c>
      <c r="J20" s="75"/>
      <c r="K20" s="11"/>
      <c r="L20" s="100"/>
      <c r="M20" s="32"/>
      <c r="N20" s="22"/>
    </row>
    <row r="21" spans="2:14" ht="14.1" customHeight="1" x14ac:dyDescent="0.2">
      <c r="B21" s="21"/>
      <c r="C21" s="11"/>
      <c r="D21" s="212" t="s">
        <v>12</v>
      </c>
      <c r="E21" s="213"/>
      <c r="F21" s="11"/>
      <c r="K21" s="11"/>
      <c r="L21" s="32"/>
      <c r="M21" s="32"/>
      <c r="N21" s="22"/>
    </row>
    <row r="22" spans="2:14" ht="14.1" customHeight="1" x14ac:dyDescent="0.2">
      <c r="B22" s="21"/>
      <c r="C22" s="11"/>
      <c r="D22" s="59" t="s">
        <v>13</v>
      </c>
      <c r="E22" s="149">
        <v>60</v>
      </c>
      <c r="F22" s="11"/>
      <c r="G22" s="11"/>
      <c r="H22" s="11"/>
      <c r="I22" s="67"/>
      <c r="J22" s="11"/>
      <c r="K22" s="11"/>
      <c r="L22" s="32"/>
      <c r="M22" s="32"/>
      <c r="N22" s="22"/>
    </row>
    <row r="23" spans="2:14" ht="14.1" customHeight="1" x14ac:dyDescent="0.2">
      <c r="B23" s="21"/>
      <c r="C23" s="11"/>
      <c r="D23" s="59" t="s">
        <v>143</v>
      </c>
      <c r="E23" s="150">
        <v>45292</v>
      </c>
      <c r="F23" s="11"/>
      <c r="G23" s="11"/>
      <c r="H23" s="11"/>
      <c r="I23" s="67"/>
      <c r="J23" s="11"/>
      <c r="K23" s="11"/>
      <c r="L23" s="32"/>
      <c r="M23" s="32"/>
      <c r="N23" s="22"/>
    </row>
    <row r="24" spans="2:14" ht="14.1" customHeight="1" x14ac:dyDescent="0.2">
      <c r="B24" s="21"/>
      <c r="C24" s="11"/>
      <c r="D24" s="59" t="s">
        <v>15</v>
      </c>
      <c r="E24" s="77">
        <f>IF((ABS(DATEDIF(E23,E25,"m"))+E22)&lt;=ABS(60),(ABS(DATEDIF(E23,E25,"m"))),"تجاوز الحد الأقصى لمدة التمويل")</f>
        <v>0</v>
      </c>
      <c r="F24" s="11"/>
      <c r="G24" s="11"/>
      <c r="H24" s="11"/>
      <c r="I24" s="11"/>
      <c r="J24" s="11"/>
      <c r="K24" s="11"/>
      <c r="L24" s="32"/>
      <c r="M24" s="32"/>
      <c r="N24" s="22"/>
    </row>
    <row r="25" spans="2:14" ht="14.1" customHeight="1" x14ac:dyDescent="0.2">
      <c r="B25" s="21"/>
      <c r="C25" s="11"/>
      <c r="D25" s="59" t="s">
        <v>132</v>
      </c>
      <c r="E25" s="150">
        <v>45321</v>
      </c>
      <c r="F25" s="62"/>
      <c r="G25" s="11"/>
      <c r="H25" s="11"/>
      <c r="I25" s="11"/>
      <c r="J25" s="11"/>
      <c r="K25" s="11"/>
      <c r="L25" s="74"/>
      <c r="M25" s="32"/>
      <c r="N25" s="22"/>
    </row>
    <row r="26" spans="2:14" ht="14.1" customHeight="1" x14ac:dyDescent="0.2">
      <c r="B26" s="21"/>
      <c r="C26" s="11"/>
      <c r="D26" s="62"/>
      <c r="E26" s="62"/>
      <c r="F26" s="62"/>
      <c r="G26" s="11"/>
      <c r="H26" s="11"/>
      <c r="I26" s="11"/>
      <c r="J26" s="11"/>
      <c r="K26" s="11"/>
      <c r="L26" s="32"/>
      <c r="M26" s="32"/>
      <c r="N26" s="22"/>
    </row>
    <row r="27" spans="2:14" ht="14.1" customHeight="1" thickBot="1" x14ac:dyDescent="0.25">
      <c r="B27" s="23"/>
      <c r="C27" s="24"/>
      <c r="D27" s="24"/>
      <c r="E27" s="24"/>
      <c r="F27" s="24"/>
      <c r="G27" s="25"/>
      <c r="H27" s="25"/>
      <c r="I27" s="25"/>
      <c r="J27" s="25"/>
      <c r="K27" s="24"/>
      <c r="L27" s="33"/>
      <c r="M27" s="33"/>
      <c r="N27" s="26"/>
    </row>
    <row r="28" spans="2:14" ht="8.1" customHeight="1" x14ac:dyDescent="0.2"/>
    <row r="29" spans="2:14" ht="8.1" customHeight="1" thickBot="1" x14ac:dyDescent="0.25"/>
    <row r="30" spans="2:14" ht="14.1" customHeight="1" x14ac:dyDescent="0.2">
      <c r="B30" s="18"/>
      <c r="C30" s="19"/>
      <c r="D30" s="19"/>
      <c r="E30" s="19"/>
      <c r="F30" s="19"/>
      <c r="G30" s="19"/>
      <c r="H30" s="19"/>
      <c r="I30" s="19"/>
      <c r="J30" s="19"/>
      <c r="K30" s="19"/>
      <c r="L30" s="31"/>
      <c r="M30" s="31"/>
      <c r="N30" s="20"/>
    </row>
    <row r="31" spans="2:14" ht="13.65" customHeight="1" x14ac:dyDescent="0.2">
      <c r="B31" s="21"/>
      <c r="C31" s="209" t="s">
        <v>135</v>
      </c>
      <c r="D31" s="209"/>
      <c r="E31" s="209"/>
      <c r="F31" s="209"/>
      <c r="G31" s="209"/>
      <c r="H31" s="209"/>
      <c r="I31" s="209"/>
      <c r="J31" s="209"/>
      <c r="K31" s="209"/>
      <c r="L31" s="209"/>
      <c r="M31" s="209"/>
      <c r="N31" s="22"/>
    </row>
    <row r="32" spans="2:14" ht="14.1" customHeight="1" x14ac:dyDescent="0.2">
      <c r="B32" s="21"/>
      <c r="C32" s="11"/>
      <c r="D32" s="11"/>
      <c r="E32" s="11"/>
      <c r="F32" s="11"/>
      <c r="G32" s="11"/>
      <c r="H32" s="11"/>
      <c r="I32" s="11"/>
      <c r="J32" s="11"/>
      <c r="K32" s="11"/>
      <c r="L32" s="32"/>
      <c r="M32" s="32"/>
      <c r="N32" s="22"/>
    </row>
    <row r="33" spans="2:15" ht="40.35" customHeight="1" x14ac:dyDescent="0.2">
      <c r="B33" s="21"/>
      <c r="C33" s="11"/>
      <c r="D33" s="210" t="s">
        <v>11</v>
      </c>
      <c r="E33" s="211"/>
      <c r="F33" s="27"/>
      <c r="G33" s="28" t="s">
        <v>14</v>
      </c>
      <c r="H33" s="28" t="s">
        <v>16</v>
      </c>
      <c r="I33" s="29" t="s">
        <v>87</v>
      </c>
      <c r="J33" s="29" t="s">
        <v>17</v>
      </c>
      <c r="K33" s="27"/>
      <c r="L33" s="28" t="s">
        <v>18</v>
      </c>
      <c r="N33" s="22"/>
    </row>
    <row r="34" spans="2:15" ht="14.1" customHeight="1" x14ac:dyDescent="0.2">
      <c r="B34" s="21"/>
      <c r="C34" s="11"/>
      <c r="D34" s="10" t="s">
        <v>78</v>
      </c>
      <c r="E34" s="147">
        <v>300000</v>
      </c>
      <c r="F34" s="11"/>
      <c r="G34" s="10" t="s">
        <v>9</v>
      </c>
      <c r="H34" s="151" t="s">
        <v>67</v>
      </c>
      <c r="I34" s="147">
        <v>3000</v>
      </c>
      <c r="J34" s="75">
        <f>IF(H34="سنوي",I34/($E$39/12),IF(H34="شهري",I34/$E$39,I34))</f>
        <v>3000</v>
      </c>
      <c r="K34" s="11"/>
      <c r="L34" s="57">
        <f ca="1">IFERROR('التمويل التأجيري'!F6,"")</f>
        <v>9.6677023172378557E-2</v>
      </c>
      <c r="N34" s="22"/>
    </row>
    <row r="35" spans="2:15" ht="14.1" customHeight="1" x14ac:dyDescent="0.2">
      <c r="B35" s="21"/>
      <c r="C35" s="11"/>
      <c r="D35" s="10" t="s">
        <v>125</v>
      </c>
      <c r="E35" s="148">
        <v>5.1999999999999998E-2</v>
      </c>
      <c r="F35" s="11"/>
      <c r="G35" s="10" t="s">
        <v>10</v>
      </c>
      <c r="H35" s="151" t="s">
        <v>71</v>
      </c>
      <c r="I35" s="147">
        <v>0</v>
      </c>
      <c r="J35" s="75">
        <f>IF(H35="سنوي",I35/($E$39/12),IF(H35="شهري",I35/$E$39,I35))</f>
        <v>0</v>
      </c>
      <c r="K35" s="11"/>
      <c r="N35" s="22"/>
    </row>
    <row r="36" spans="2:15" ht="14.1" customHeight="1" x14ac:dyDescent="0.2">
      <c r="B36" s="21"/>
      <c r="C36" s="11"/>
      <c r="D36" s="11"/>
      <c r="E36" s="11"/>
      <c r="F36" s="11"/>
      <c r="G36" s="10" t="s">
        <v>29</v>
      </c>
      <c r="H36" s="151" t="s">
        <v>66</v>
      </c>
      <c r="I36" s="147">
        <f>SUM(J42:J46)</f>
        <v>33120</v>
      </c>
      <c r="J36" s="75" t="str">
        <f>IF(H36="دفعة مقدمة",I36,(IF(H36="القسط (الدفعة) الاول", I36, "وفقا للجدول أدناه")))</f>
        <v>وفقا للجدول أدناه</v>
      </c>
      <c r="K36" s="11"/>
      <c r="L36" s="99"/>
      <c r="M36" s="32"/>
      <c r="N36" s="22"/>
    </row>
    <row r="37" spans="2:15" ht="14.1" customHeight="1" x14ac:dyDescent="0.2">
      <c r="B37" s="21"/>
      <c r="C37" s="11"/>
      <c r="D37" s="11"/>
      <c r="E37" s="11"/>
      <c r="F37" s="11"/>
      <c r="G37" s="10" t="s">
        <v>8</v>
      </c>
      <c r="H37" s="151" t="s">
        <v>68</v>
      </c>
      <c r="I37" s="147">
        <v>0</v>
      </c>
      <c r="J37" s="75">
        <f>IF(H37="سنوي",I37/($E$39/12),IF(H37="شهري",I37/$E$39,I37))</f>
        <v>0</v>
      </c>
      <c r="K37" s="11"/>
      <c r="L37" s="100"/>
      <c r="M37" s="32"/>
      <c r="N37" s="22"/>
    </row>
    <row r="38" spans="2:15" ht="14.1" customHeight="1" x14ac:dyDescent="0.2">
      <c r="B38" s="21"/>
      <c r="C38" s="11"/>
      <c r="D38" s="208" t="s">
        <v>12</v>
      </c>
      <c r="E38" s="208"/>
      <c r="F38" s="11"/>
      <c r="G38" s="206" t="s">
        <v>88</v>
      </c>
      <c r="H38" s="207"/>
      <c r="I38" s="86">
        <f>SUM(I34:I37)</f>
        <v>36120</v>
      </c>
      <c r="J38" s="125"/>
      <c r="K38" s="11"/>
      <c r="L38" s="32"/>
      <c r="M38" s="32"/>
      <c r="N38" s="22"/>
    </row>
    <row r="39" spans="2:15" ht="14.1" customHeight="1" x14ac:dyDescent="0.2">
      <c r="B39" s="21"/>
      <c r="C39" s="11"/>
      <c r="D39" s="59" t="s">
        <v>13</v>
      </c>
      <c r="E39" s="149">
        <v>60</v>
      </c>
      <c r="F39" s="11"/>
      <c r="K39" s="11"/>
      <c r="L39" s="32"/>
      <c r="M39" s="111"/>
      <c r="N39" s="22"/>
    </row>
    <row r="40" spans="2:15" ht="14.1" customHeight="1" x14ac:dyDescent="0.2">
      <c r="B40" s="21"/>
      <c r="C40" s="11"/>
      <c r="D40" s="59" t="s">
        <v>143</v>
      </c>
      <c r="E40" s="150">
        <v>45292</v>
      </c>
      <c r="F40" s="11"/>
      <c r="G40" s="29" t="s">
        <v>69</v>
      </c>
      <c r="H40" s="147">
        <v>320000</v>
      </c>
      <c r="J40" s="73"/>
      <c r="K40" s="32"/>
      <c r="L40" s="32"/>
      <c r="M40" s="72"/>
      <c r="N40" s="22"/>
    </row>
    <row r="41" spans="2:15" s="90" customFormat="1" ht="11.4" x14ac:dyDescent="0.2">
      <c r="B41" s="91"/>
      <c r="C41" s="92"/>
      <c r="D41" s="59" t="s">
        <v>15</v>
      </c>
      <c r="E41" s="93">
        <f>IF((ABS(DATEDIF(E40,E42,"m"))+E39)&lt;=ABS(60),(ABS(DATEDIF(E40,E42,"m"))),"تجاوز الحد الأقصى لمدة التمويل")</f>
        <v>0</v>
      </c>
      <c r="F41" s="92"/>
      <c r="G41" s="29" t="s">
        <v>111</v>
      </c>
      <c r="H41" s="29" t="s">
        <v>112</v>
      </c>
      <c r="I41" s="29" t="s">
        <v>116</v>
      </c>
      <c r="J41" s="29" t="s">
        <v>52</v>
      </c>
      <c r="K41" s="29" t="s">
        <v>51</v>
      </c>
      <c r="L41" s="29" t="s">
        <v>70</v>
      </c>
      <c r="M41" s="110"/>
      <c r="N41" s="94"/>
    </row>
    <row r="42" spans="2:15" ht="14.1" customHeight="1" x14ac:dyDescent="0.2">
      <c r="B42" s="21"/>
      <c r="C42" s="11"/>
      <c r="D42" s="59" t="s">
        <v>117</v>
      </c>
      <c r="E42" s="150">
        <v>45321</v>
      </c>
      <c r="F42" s="11"/>
      <c r="G42" s="161">
        <v>1</v>
      </c>
      <c r="H42" s="148">
        <v>0.03</v>
      </c>
      <c r="I42" s="162">
        <v>0.2</v>
      </c>
      <c r="J42" s="56">
        <f>IF(G42&lt;&gt;"",H40*H42*1.15,0)</f>
        <v>11040</v>
      </c>
      <c r="K42" s="56" t="str">
        <f>IFERROR(IF($H$36="سنوي",12*G42,IF($H$36="القسط (الدفعة) الاول",1,"")),"")</f>
        <v/>
      </c>
      <c r="L42" s="56">
        <f>IF(G42="","",IF($H$36="شهري",J42/12,J42))</f>
        <v>920</v>
      </c>
      <c r="M42" s="107"/>
      <c r="N42" s="108"/>
      <c r="O42" s="89"/>
    </row>
    <row r="43" spans="2:15" ht="14.1" customHeight="1" x14ac:dyDescent="0.2">
      <c r="B43" s="21"/>
      <c r="C43" s="11"/>
      <c r="D43" s="11"/>
      <c r="E43" s="11"/>
      <c r="F43" s="11"/>
      <c r="G43" s="161">
        <v>2</v>
      </c>
      <c r="H43" s="148">
        <v>0.03</v>
      </c>
      <c r="I43" s="162">
        <v>0.2</v>
      </c>
      <c r="J43" s="56">
        <f>IF(G43&lt;&gt;"",($H$40-($H$40*I42)*G42)*H43*1.15,0)</f>
        <v>8832</v>
      </c>
      <c r="K43" s="56" t="str">
        <f>IFERROR(IF($H$36="سنوي",12*G43,""),"")</f>
        <v/>
      </c>
      <c r="L43" s="56">
        <f>IF(G43="","",IF($H$36="شهري",J43/12,J43))</f>
        <v>736</v>
      </c>
      <c r="M43" s="107"/>
      <c r="N43" s="108"/>
      <c r="O43" s="89"/>
    </row>
    <row r="44" spans="2:15" ht="14.1" customHeight="1" x14ac:dyDescent="0.2">
      <c r="B44" s="21"/>
      <c r="C44" s="11"/>
      <c r="D44" s="11"/>
      <c r="E44" s="11"/>
      <c r="F44" s="11"/>
      <c r="G44" s="161">
        <v>3</v>
      </c>
      <c r="H44" s="148">
        <v>0.03</v>
      </c>
      <c r="I44" s="162">
        <v>0.2</v>
      </c>
      <c r="J44" s="56">
        <f t="shared" ref="J44:J46" si="0">IF(G44&lt;&gt;"",($H$40-($H$40*I43)*G43)*H44*1.15,0)</f>
        <v>6623.9999999999991</v>
      </c>
      <c r="K44" s="56" t="str">
        <f t="shared" ref="K44:K46" si="1">IFERROR(IF($H$36="سنوي",12*G44,""),"")</f>
        <v/>
      </c>
      <c r="L44" s="56">
        <f>IF(G44="","",IF($H$36="شهري",J44/12,J44))</f>
        <v>551.99999999999989</v>
      </c>
      <c r="M44" s="107"/>
      <c r="N44" s="108"/>
      <c r="O44" s="89"/>
    </row>
    <row r="45" spans="2:15" ht="14.1" customHeight="1" x14ac:dyDescent="0.2">
      <c r="B45" s="21"/>
      <c r="C45" s="11"/>
      <c r="D45" s="208" t="s">
        <v>62</v>
      </c>
      <c r="E45" s="208"/>
      <c r="F45" s="11"/>
      <c r="G45" s="161">
        <v>4</v>
      </c>
      <c r="H45" s="148">
        <v>0.03</v>
      </c>
      <c r="I45" s="162">
        <v>0.2</v>
      </c>
      <c r="J45" s="56">
        <f t="shared" si="0"/>
        <v>4416</v>
      </c>
      <c r="K45" s="56" t="str">
        <f t="shared" si="1"/>
        <v/>
      </c>
      <c r="L45" s="56">
        <f>IF(G45="","",IF($H$36="شهري",J45/12,J45))</f>
        <v>368</v>
      </c>
      <c r="M45" s="107"/>
      <c r="N45" s="108"/>
      <c r="O45" s="89"/>
    </row>
    <row r="46" spans="2:15" ht="14.1" customHeight="1" x14ac:dyDescent="0.2">
      <c r="B46" s="21"/>
      <c r="C46" s="11"/>
      <c r="D46" s="59" t="s">
        <v>63</v>
      </c>
      <c r="E46" s="147">
        <v>50000</v>
      </c>
      <c r="F46" s="11"/>
      <c r="G46" s="161">
        <v>5</v>
      </c>
      <c r="H46" s="148">
        <v>0.03</v>
      </c>
      <c r="I46" s="162">
        <v>0.2</v>
      </c>
      <c r="J46" s="56">
        <f t="shared" si="0"/>
        <v>2208</v>
      </c>
      <c r="K46" s="56" t="str">
        <f t="shared" si="1"/>
        <v/>
      </c>
      <c r="L46" s="56">
        <f>IF(G46="","",IF($H$36="شهري",J46/12,J46))</f>
        <v>184</v>
      </c>
      <c r="M46" s="107"/>
      <c r="N46" s="108"/>
      <c r="O46" s="89"/>
    </row>
    <row r="47" spans="2:15" ht="14.1" customHeight="1" thickBot="1" x14ac:dyDescent="0.25">
      <c r="B47" s="23"/>
      <c r="C47" s="24"/>
      <c r="D47" s="24"/>
      <c r="E47" s="58"/>
      <c r="F47" s="24"/>
      <c r="G47" s="24"/>
      <c r="H47" s="24"/>
      <c r="I47" s="24"/>
      <c r="J47" s="24"/>
      <c r="K47" s="24"/>
      <c r="L47" s="33"/>
      <c r="M47" s="33"/>
      <c r="N47" s="26"/>
    </row>
    <row r="49" spans="2:14" ht="14.1" customHeight="1" thickBot="1" x14ac:dyDescent="0.25"/>
    <row r="50" spans="2:14" ht="14.1" customHeight="1" x14ac:dyDescent="0.2">
      <c r="B50" s="18"/>
      <c r="C50" s="19"/>
      <c r="D50" s="19"/>
      <c r="E50" s="19"/>
      <c r="F50" s="19"/>
      <c r="G50" s="19"/>
      <c r="H50" s="19"/>
      <c r="I50" s="19"/>
      <c r="J50" s="19"/>
      <c r="K50" s="19"/>
      <c r="L50" s="31"/>
      <c r="M50" s="31"/>
      <c r="N50" s="20"/>
    </row>
    <row r="51" spans="2:14" ht="14.1" customHeight="1" x14ac:dyDescent="0.2">
      <c r="B51" s="21"/>
      <c r="C51" s="209" t="s">
        <v>42</v>
      </c>
      <c r="D51" s="209"/>
      <c r="E51" s="209"/>
      <c r="F51" s="209"/>
      <c r="G51" s="209"/>
      <c r="H51" s="209"/>
      <c r="I51" s="209"/>
      <c r="J51" s="209"/>
      <c r="K51" s="209"/>
      <c r="L51" s="209"/>
      <c r="M51" s="209"/>
      <c r="N51" s="22"/>
    </row>
    <row r="52" spans="2:14" ht="14.1" customHeight="1" x14ac:dyDescent="0.2">
      <c r="B52" s="21"/>
      <c r="C52" s="11"/>
      <c r="D52" s="11"/>
      <c r="E52" s="11"/>
      <c r="F52" s="11"/>
      <c r="G52" s="11"/>
      <c r="H52" s="11"/>
      <c r="I52" s="11"/>
      <c r="J52" s="11"/>
      <c r="K52" s="11"/>
      <c r="L52" s="32"/>
      <c r="M52" s="32"/>
      <c r="N52" s="22"/>
    </row>
    <row r="53" spans="2:14" ht="39.6" customHeight="1" x14ac:dyDescent="0.2">
      <c r="B53" s="21"/>
      <c r="C53" s="11"/>
      <c r="D53" s="210" t="s">
        <v>11</v>
      </c>
      <c r="E53" s="211"/>
      <c r="F53" s="27"/>
      <c r="G53" s="28" t="s">
        <v>14</v>
      </c>
      <c r="H53" s="28" t="s">
        <v>16</v>
      </c>
      <c r="I53" s="29" t="s">
        <v>87</v>
      </c>
      <c r="J53" s="29" t="s">
        <v>17</v>
      </c>
      <c r="K53" s="27"/>
      <c r="L53" s="28" t="s">
        <v>18</v>
      </c>
      <c r="N53" s="22"/>
    </row>
    <row r="54" spans="2:14" ht="14.1" customHeight="1" x14ac:dyDescent="0.2">
      <c r="B54" s="21"/>
      <c r="C54" s="11"/>
      <c r="D54" s="10" t="s">
        <v>78</v>
      </c>
      <c r="E54" s="147">
        <v>1600000</v>
      </c>
      <c r="F54" s="11"/>
      <c r="G54" s="10" t="s">
        <v>9</v>
      </c>
      <c r="H54" s="151" t="s">
        <v>68</v>
      </c>
      <c r="I54" s="147">
        <v>2000</v>
      </c>
      <c r="J54" s="76">
        <f>IF(H54="سنوي",I54/($E$58/12),IF(H54="شهري",I54/$E$58,I54))</f>
        <v>2000</v>
      </c>
      <c r="K54" s="11"/>
      <c r="L54" s="157">
        <f ca="1">IFERROR('التمويل العقاري'!F6,"")</f>
        <v>5.8993664383888242E-2</v>
      </c>
      <c r="M54" s="78"/>
      <c r="N54" s="22"/>
    </row>
    <row r="55" spans="2:14" ht="14.1" customHeight="1" x14ac:dyDescent="0.2">
      <c r="B55" s="21"/>
      <c r="C55" s="11"/>
      <c r="D55" s="10" t="s">
        <v>125</v>
      </c>
      <c r="E55" s="148">
        <v>5.5E-2</v>
      </c>
      <c r="F55" s="11"/>
      <c r="G55" s="10" t="s">
        <v>10</v>
      </c>
      <c r="H55" s="151" t="s">
        <v>68</v>
      </c>
      <c r="I55" s="147">
        <v>0</v>
      </c>
      <c r="J55" s="76">
        <f>IF(H55="سنوي",I55/($E$58/12),IF(H55="شهري",I55/$E$58,I55))</f>
        <v>0</v>
      </c>
      <c r="K55" s="11"/>
      <c r="L55" s="32"/>
      <c r="M55" s="79"/>
      <c r="N55" s="22"/>
    </row>
    <row r="56" spans="2:14" ht="14.1" customHeight="1" x14ac:dyDescent="0.2">
      <c r="B56" s="21"/>
      <c r="C56" s="11"/>
      <c r="D56" s="11"/>
      <c r="E56" s="11"/>
      <c r="F56" s="11"/>
      <c r="G56" s="10" t="s">
        <v>48</v>
      </c>
      <c r="H56" s="151" t="s">
        <v>66</v>
      </c>
      <c r="I56" s="147">
        <v>50000</v>
      </c>
      <c r="J56" s="76">
        <f>IF(H56="سنوي",I56/($E$58/12),IF(H56="شهري",I56/$E$58,I56))</f>
        <v>208.33333333333334</v>
      </c>
      <c r="K56" s="11"/>
      <c r="L56" s="99"/>
      <c r="M56" s="32"/>
      <c r="N56" s="22"/>
    </row>
    <row r="57" spans="2:14" ht="14.1" customHeight="1" x14ac:dyDescent="0.2">
      <c r="B57" s="21"/>
      <c r="C57" s="11"/>
      <c r="D57" s="208" t="s">
        <v>44</v>
      </c>
      <c r="E57" s="208"/>
      <c r="F57" s="11"/>
      <c r="G57" s="10" t="s">
        <v>30</v>
      </c>
      <c r="H57" s="151" t="s">
        <v>68</v>
      </c>
      <c r="I57" s="147">
        <v>3000</v>
      </c>
      <c r="J57" s="76">
        <f>IF(H57="سنوي",I57/($E$58/12),IF(H57="شهري",I57/$E$58,I57))</f>
        <v>3000</v>
      </c>
      <c r="K57" s="11"/>
      <c r="L57" s="100"/>
      <c r="M57" s="32"/>
      <c r="N57" s="22"/>
    </row>
    <row r="58" spans="2:14" ht="14.1" customHeight="1" x14ac:dyDescent="0.2">
      <c r="B58" s="21"/>
      <c r="C58" s="11"/>
      <c r="D58" s="59" t="s">
        <v>13</v>
      </c>
      <c r="E58" s="149">
        <v>240</v>
      </c>
      <c r="F58" s="11"/>
      <c r="G58" s="10" t="s">
        <v>8</v>
      </c>
      <c r="H58" s="151" t="s">
        <v>71</v>
      </c>
      <c r="I58" s="147">
        <v>0</v>
      </c>
      <c r="J58" s="76">
        <f>IF(H58="سنوي",I58/($E$58/12),IF(H58="شهري",I58/$E$58,I58))</f>
        <v>0</v>
      </c>
      <c r="K58" s="11"/>
      <c r="L58" s="32"/>
      <c r="M58" s="32"/>
      <c r="N58" s="22"/>
    </row>
    <row r="59" spans="2:14" ht="14.1" customHeight="1" x14ac:dyDescent="0.2">
      <c r="B59" s="21"/>
      <c r="C59" s="11"/>
      <c r="D59" s="59" t="s">
        <v>143</v>
      </c>
      <c r="E59" s="150">
        <v>45292</v>
      </c>
      <c r="F59" s="11"/>
      <c r="G59" s="206" t="s">
        <v>88</v>
      </c>
      <c r="H59" s="207"/>
      <c r="I59" s="86">
        <f>SUM(I54:I58)</f>
        <v>55000</v>
      </c>
      <c r="J59" s="56"/>
      <c r="K59" s="11"/>
      <c r="L59" s="32"/>
      <c r="M59" s="32"/>
      <c r="N59" s="22"/>
    </row>
    <row r="60" spans="2:14" ht="14.1" customHeight="1" x14ac:dyDescent="0.2">
      <c r="B60" s="21"/>
      <c r="C60" s="11"/>
      <c r="D60" s="59" t="s">
        <v>15</v>
      </c>
      <c r="E60" s="77">
        <f>IF((ABS(DATEDIF(E59,E61,"m"))+E58)&lt;=ABS(300),(ABS(DATEDIF(E59,E61,"m"))),"تجاوز الحد الأقصى لمدة التمويل")</f>
        <v>0</v>
      </c>
      <c r="F60" s="11"/>
      <c r="K60" s="11"/>
      <c r="L60" s="32"/>
      <c r="M60" s="32"/>
      <c r="N60" s="22"/>
    </row>
    <row r="61" spans="2:14" ht="14.1" customHeight="1" x14ac:dyDescent="0.2">
      <c r="B61" s="21"/>
      <c r="C61" s="11"/>
      <c r="D61" s="59" t="s">
        <v>117</v>
      </c>
      <c r="E61" s="150">
        <v>45321</v>
      </c>
      <c r="F61" s="11"/>
      <c r="G61" s="126" t="s">
        <v>93</v>
      </c>
      <c r="H61" s="2"/>
      <c r="I61" s="2"/>
      <c r="K61" s="11"/>
      <c r="L61" s="32"/>
      <c r="M61" s="32"/>
      <c r="N61" s="22"/>
    </row>
    <row r="62" spans="2:14" ht="14.1" customHeight="1" x14ac:dyDescent="0.2">
      <c r="B62" s="21"/>
      <c r="C62" s="11"/>
      <c r="D62" s="11"/>
      <c r="E62" s="11"/>
      <c r="F62" s="11"/>
      <c r="I62" s="2"/>
      <c r="K62" s="11"/>
      <c r="L62" s="32"/>
      <c r="M62" s="32"/>
      <c r="N62" s="22"/>
    </row>
    <row r="63" spans="2:14" ht="14.1" customHeight="1" x14ac:dyDescent="0.2">
      <c r="B63" s="21"/>
      <c r="C63" s="11"/>
      <c r="D63" s="11"/>
      <c r="E63" s="11"/>
      <c r="F63" s="11"/>
      <c r="G63" s="73"/>
      <c r="K63" s="11"/>
      <c r="L63" s="32"/>
      <c r="M63" s="32"/>
      <c r="N63" s="22"/>
    </row>
    <row r="64" spans="2:14" ht="14.1" customHeight="1" x14ac:dyDescent="0.2">
      <c r="B64" s="21"/>
      <c r="C64" s="11"/>
      <c r="D64" s="208" t="s">
        <v>62</v>
      </c>
      <c r="E64" s="208"/>
      <c r="F64" s="11"/>
      <c r="K64" s="11"/>
      <c r="L64" s="32"/>
      <c r="M64" s="32"/>
      <c r="N64" s="22"/>
    </row>
    <row r="65" spans="2:14" ht="14.1" customHeight="1" x14ac:dyDescent="0.2">
      <c r="B65" s="21"/>
      <c r="C65" s="11"/>
      <c r="D65" s="59" t="s">
        <v>63</v>
      </c>
      <c r="E65" s="147">
        <v>300000</v>
      </c>
      <c r="F65" s="11"/>
      <c r="G65" s="67"/>
      <c r="H65" s="11"/>
      <c r="I65" s="11"/>
      <c r="J65" s="11"/>
      <c r="K65" s="11"/>
      <c r="L65" s="32"/>
      <c r="M65" s="32"/>
      <c r="N65" s="22"/>
    </row>
    <row r="66" spans="2:14" ht="14.1" customHeight="1" thickBot="1" x14ac:dyDescent="0.25">
      <c r="B66" s="23"/>
      <c r="C66" s="24"/>
      <c r="D66" s="24"/>
      <c r="E66" s="24"/>
      <c r="F66" s="24"/>
      <c r="G66" s="24"/>
      <c r="H66" s="24"/>
      <c r="I66" s="24"/>
      <c r="J66" s="24"/>
      <c r="K66" s="24"/>
      <c r="L66" s="33"/>
      <c r="M66" s="33"/>
      <c r="N66" s="26"/>
    </row>
    <row r="68" spans="2:14" ht="14.1" customHeight="1" thickBot="1" x14ac:dyDescent="0.25"/>
    <row r="69" spans="2:14" ht="14.1" customHeight="1" x14ac:dyDescent="0.2">
      <c r="B69" s="18"/>
      <c r="C69" s="19"/>
      <c r="D69" s="19"/>
      <c r="E69" s="19"/>
      <c r="F69" s="19"/>
      <c r="G69" s="19"/>
      <c r="H69" s="19"/>
      <c r="I69" s="19"/>
      <c r="J69" s="19"/>
      <c r="K69" s="19"/>
      <c r="L69" s="31"/>
      <c r="M69" s="31"/>
      <c r="N69" s="20"/>
    </row>
    <row r="70" spans="2:14" ht="14.1" customHeight="1" x14ac:dyDescent="0.2">
      <c r="B70" s="21"/>
      <c r="C70" s="209" t="s">
        <v>43</v>
      </c>
      <c r="D70" s="209"/>
      <c r="E70" s="209"/>
      <c r="F70" s="209"/>
      <c r="G70" s="209"/>
      <c r="H70" s="209"/>
      <c r="I70" s="209"/>
      <c r="J70" s="209"/>
      <c r="K70" s="209"/>
      <c r="L70" s="209"/>
      <c r="M70" s="209"/>
      <c r="N70" s="22"/>
    </row>
    <row r="71" spans="2:14" ht="14.1" customHeight="1" x14ac:dyDescent="0.2">
      <c r="B71" s="21"/>
      <c r="C71" s="11"/>
      <c r="D71" s="11"/>
      <c r="E71" s="11"/>
      <c r="F71" s="11"/>
      <c r="G71" s="11"/>
      <c r="H71" s="11"/>
      <c r="I71" s="11"/>
      <c r="J71" s="11"/>
      <c r="K71" s="11"/>
      <c r="L71" s="32"/>
      <c r="M71" s="32"/>
      <c r="N71" s="22"/>
    </row>
    <row r="72" spans="2:14" ht="36" customHeight="1" x14ac:dyDescent="0.2">
      <c r="B72" s="21"/>
      <c r="C72" s="11"/>
      <c r="D72" s="210" t="s">
        <v>11</v>
      </c>
      <c r="E72" s="211"/>
      <c r="F72" s="27"/>
      <c r="G72" s="28" t="s">
        <v>14</v>
      </c>
      <c r="H72" s="28" t="s">
        <v>16</v>
      </c>
      <c r="I72" s="29" t="s">
        <v>87</v>
      </c>
      <c r="J72" s="29" t="s">
        <v>17</v>
      </c>
      <c r="K72" s="27"/>
      <c r="L72" s="28" t="s">
        <v>18</v>
      </c>
      <c r="M72" s="32"/>
      <c r="N72" s="22"/>
    </row>
    <row r="73" spans="2:14" ht="14.1" customHeight="1" x14ac:dyDescent="0.2">
      <c r="B73" s="21"/>
      <c r="C73" s="11"/>
      <c r="D73" s="59" t="s">
        <v>139</v>
      </c>
      <c r="E73" s="147">
        <v>10000</v>
      </c>
      <c r="F73" s="11"/>
      <c r="G73" s="10" t="s">
        <v>10</v>
      </c>
      <c r="H73" s="151" t="s">
        <v>71</v>
      </c>
      <c r="I73" s="149">
        <v>200</v>
      </c>
      <c r="J73" s="56">
        <f>IF(H73="سنوي",I73/1,IF(H73="شهري",I73/12,I73))</f>
        <v>200</v>
      </c>
      <c r="K73" s="11"/>
      <c r="L73" s="57">
        <f>IFERROR('بطاقات الائتمان'!F6,"")</f>
        <v>0.30306856036186225</v>
      </c>
      <c r="M73" s="32"/>
      <c r="N73" s="22"/>
    </row>
    <row r="74" spans="2:14" ht="14.1" customHeight="1" x14ac:dyDescent="0.2">
      <c r="B74" s="21"/>
      <c r="C74" s="11"/>
      <c r="D74" s="10" t="s">
        <v>125</v>
      </c>
      <c r="E74" s="148">
        <v>0.2</v>
      </c>
      <c r="F74" s="11"/>
      <c r="G74" s="10" t="s">
        <v>29</v>
      </c>
      <c r="H74" s="151" t="s">
        <v>71</v>
      </c>
      <c r="I74" s="149">
        <v>100</v>
      </c>
      <c r="J74" s="56">
        <f>IF(H74="سنوي",I74/1,IF(H74="شهري",I74/12,I74))</f>
        <v>100</v>
      </c>
      <c r="K74" s="11"/>
      <c r="L74" s="32"/>
      <c r="M74" s="32"/>
      <c r="N74" s="22"/>
    </row>
    <row r="75" spans="2:14" ht="14.1" customHeight="1" x14ac:dyDescent="0.2">
      <c r="B75" s="21"/>
      <c r="C75" s="11"/>
      <c r="F75" s="11"/>
      <c r="G75" s="10" t="s">
        <v>8</v>
      </c>
      <c r="H75" s="151" t="s">
        <v>67</v>
      </c>
      <c r="I75" s="149">
        <v>100</v>
      </c>
      <c r="J75" s="56">
        <f>IF(H75="سنوي",I75/1,IF(H75="شهري",I75/12,I75))</f>
        <v>100</v>
      </c>
      <c r="K75" s="11"/>
      <c r="L75" s="99"/>
      <c r="M75" s="32"/>
      <c r="N75" s="22"/>
    </row>
    <row r="76" spans="2:14" ht="14.1" customHeight="1" x14ac:dyDescent="0.2">
      <c r="B76" s="21"/>
      <c r="C76" s="11"/>
      <c r="D76" s="11"/>
      <c r="E76" s="11"/>
      <c r="F76" s="11"/>
      <c r="G76" s="206" t="s">
        <v>88</v>
      </c>
      <c r="H76" s="207"/>
      <c r="I76" s="86">
        <f>SUM(I73:I75)</f>
        <v>400</v>
      </c>
      <c r="J76" s="56"/>
      <c r="K76" s="11"/>
      <c r="L76" s="100"/>
      <c r="M76" s="32"/>
      <c r="N76" s="22"/>
    </row>
    <row r="77" spans="2:14" ht="14.1" customHeight="1" x14ac:dyDescent="0.2">
      <c r="B77" s="21"/>
      <c r="C77" s="11"/>
      <c r="D77" s="208" t="s">
        <v>12</v>
      </c>
      <c r="E77" s="208"/>
      <c r="F77" s="11"/>
      <c r="G77" s="11"/>
      <c r="H77" s="11"/>
      <c r="I77" s="11"/>
      <c r="J77" s="11"/>
      <c r="K77" s="11"/>
      <c r="L77" s="32"/>
      <c r="M77" s="32"/>
      <c r="N77" s="22"/>
    </row>
    <row r="78" spans="2:14" ht="14.1" customHeight="1" x14ac:dyDescent="0.2">
      <c r="B78" s="21"/>
      <c r="C78" s="11"/>
      <c r="D78" s="3" t="s">
        <v>45</v>
      </c>
      <c r="E78" s="150">
        <v>45292</v>
      </c>
      <c r="F78" s="11"/>
      <c r="G78" s="11"/>
      <c r="H78" s="11"/>
      <c r="I78" s="11"/>
      <c r="J78" s="11"/>
      <c r="K78" s="11"/>
      <c r="L78" s="32"/>
      <c r="M78" s="32"/>
      <c r="N78" s="22"/>
    </row>
    <row r="79" spans="2:14" ht="14.1" customHeight="1" x14ac:dyDescent="0.2">
      <c r="B79" s="21"/>
      <c r="C79" s="11"/>
      <c r="D79" s="59" t="s">
        <v>115</v>
      </c>
      <c r="E79" s="150">
        <v>45321</v>
      </c>
      <c r="F79" s="11"/>
      <c r="G79" s="11"/>
      <c r="H79" s="11"/>
      <c r="I79" s="11"/>
      <c r="J79" s="11"/>
      <c r="K79" s="11"/>
      <c r="L79" s="32"/>
      <c r="M79" s="32"/>
      <c r="N79" s="22"/>
    </row>
    <row r="80" spans="2:14" ht="14.1" customHeight="1" x14ac:dyDescent="0.2">
      <c r="B80" s="21"/>
      <c r="C80" s="11"/>
      <c r="D80" s="11"/>
      <c r="E80" s="11"/>
      <c r="F80" s="11"/>
      <c r="G80" s="11"/>
      <c r="H80" s="11"/>
      <c r="I80" s="11"/>
      <c r="J80" s="11"/>
      <c r="K80" s="11"/>
      <c r="L80" s="32"/>
      <c r="M80" s="32"/>
      <c r="N80" s="22"/>
    </row>
    <row r="81" spans="2:14" ht="36" customHeight="1" x14ac:dyDescent="0.2">
      <c r="B81" s="21"/>
      <c r="C81" s="11"/>
      <c r="D81" s="203"/>
      <c r="E81" s="204"/>
      <c r="F81" s="204"/>
      <c r="G81" s="204"/>
      <c r="H81" s="11"/>
      <c r="I81" s="11"/>
      <c r="J81" s="11"/>
      <c r="K81" s="11"/>
      <c r="L81" s="32"/>
      <c r="M81" s="32"/>
      <c r="N81" s="22"/>
    </row>
    <row r="82" spans="2:14" ht="14.1" customHeight="1" thickBot="1" x14ac:dyDescent="0.25">
      <c r="B82" s="23"/>
      <c r="C82" s="24"/>
      <c r="D82" s="131"/>
      <c r="E82" s="24"/>
      <c r="F82" s="24"/>
      <c r="G82" s="24"/>
      <c r="H82" s="24"/>
      <c r="I82" s="24"/>
      <c r="J82" s="24"/>
      <c r="K82" s="24"/>
      <c r="L82" s="33"/>
      <c r="M82" s="33"/>
      <c r="N82" s="26"/>
    </row>
    <row r="83" spans="2:14" ht="14.1" customHeight="1" x14ac:dyDescent="0.2">
      <c r="D83" s="127"/>
    </row>
    <row r="87" spans="2:14" ht="14.1" customHeight="1" x14ac:dyDescent="0.2">
      <c r="F87" s="64"/>
    </row>
  </sheetData>
  <mergeCells count="28">
    <mergeCell ref="B3:H11"/>
    <mergeCell ref="D33:E33"/>
    <mergeCell ref="G20:H20"/>
    <mergeCell ref="D45:E45"/>
    <mergeCell ref="G38:H38"/>
    <mergeCell ref="D38:E38"/>
    <mergeCell ref="D72:E72"/>
    <mergeCell ref="D57:E57"/>
    <mergeCell ref="D64:E64"/>
    <mergeCell ref="G76:H76"/>
    <mergeCell ref="D16:E16"/>
    <mergeCell ref="D21:E21"/>
    <mergeCell ref="D81:G81"/>
    <mergeCell ref="K3:N3"/>
    <mergeCell ref="K4:N4"/>
    <mergeCell ref="K5:N5"/>
    <mergeCell ref="K6:N6"/>
    <mergeCell ref="K7:N7"/>
    <mergeCell ref="K8:N8"/>
    <mergeCell ref="K9:N9"/>
    <mergeCell ref="K10:N10"/>
    <mergeCell ref="G59:H59"/>
    <mergeCell ref="D77:E77"/>
    <mergeCell ref="C14:M14"/>
    <mergeCell ref="C31:M31"/>
    <mergeCell ref="C51:M51"/>
    <mergeCell ref="C70:M70"/>
    <mergeCell ref="D53:E53"/>
  </mergeCells>
  <conditionalFormatting sqref="E25">
    <cfRule type="expression" dxfId="4" priority="4">
      <formula>$E25&lt;$E23</formula>
    </cfRule>
  </conditionalFormatting>
  <conditionalFormatting sqref="E42">
    <cfRule type="expression" dxfId="3" priority="3">
      <formula>$E42&lt;$E40</formula>
    </cfRule>
  </conditionalFormatting>
  <conditionalFormatting sqref="E61">
    <cfRule type="expression" dxfId="2" priority="2">
      <formula>$E61&lt;$E59</formula>
    </cfRule>
  </conditionalFormatting>
  <conditionalFormatting sqref="E79">
    <cfRule type="expression" dxfId="1" priority="1">
      <formula>$E79&lt;$E78</formula>
    </cfRule>
  </conditionalFormatting>
  <dataValidations count="2">
    <dataValidation type="list" allowBlank="1" showInputMessage="1" showErrorMessage="1" sqref="H20 H59 H38 H76" xr:uid="{00000000-0002-0000-0100-000000000000}">
      <formula1>"Monthly, Annual, Beginning of the loan, End of the loan"</formula1>
    </dataValidation>
    <dataValidation type="list" allowBlank="1" showInputMessage="1" showErrorMessage="1" sqref="H34:H37 H54:H58 H73:H75 H17:H19" xr:uid="{00000000-0002-0000-0100-000001000000}">
      <formula1>"شهري, سنوي, دفعة مقدمة, القسط (الدفعة) الاول"</formula1>
    </dataValidation>
  </dataValidations>
  <pageMargins left="0.7" right="0.7" top="0.75" bottom="0.75" header="0.3" footer="0.3"/>
  <pageSetup orientation="portrait" r:id="rId1"/>
  <headerFooter>
    <oddHeader>&amp;C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00"/>
  </sheetPr>
  <dimension ref="B1:V80"/>
  <sheetViews>
    <sheetView showGridLines="0" rightToLeft="1" topLeftCell="B1" zoomScaleNormal="100" workbookViewId="0">
      <selection activeCell="C19" sqref="C19"/>
    </sheetView>
  </sheetViews>
  <sheetFormatPr defaultColWidth="8.88671875" defaultRowHeight="11.4" x14ac:dyDescent="0.2"/>
  <cols>
    <col min="1" max="1" width="0" style="1" hidden="1" customWidth="1"/>
    <col min="2" max="7" width="24.44140625" style="1" customWidth="1"/>
    <col min="8" max="8" width="29.109375" style="1" bestFit="1" customWidth="1"/>
    <col min="9" max="13" width="24.44140625" style="1" customWidth="1"/>
    <col min="14" max="14" width="17.44140625" style="1" bestFit="1" customWidth="1"/>
    <col min="15" max="15" width="11" style="1" bestFit="1" customWidth="1"/>
    <col min="16" max="16" width="12" style="1" bestFit="1" customWidth="1"/>
    <col min="17" max="18" width="10.44140625" style="1" bestFit="1" customWidth="1"/>
    <col min="19" max="19" width="11.5546875" style="1" bestFit="1" customWidth="1"/>
    <col min="20" max="20" width="21.88671875" style="1" customWidth="1"/>
    <col min="21" max="22" width="8.88671875" style="1" customWidth="1"/>
    <col min="23" max="16384" width="8.88671875" style="1"/>
  </cols>
  <sheetData>
    <row r="1" spans="2:22" x14ac:dyDescent="0.2">
      <c r="U1" s="198">
        <f>ROW(R17)</f>
        <v>17</v>
      </c>
      <c r="V1" s="198">
        <f>ROW(S17)</f>
        <v>17</v>
      </c>
    </row>
    <row r="2" spans="2:22" ht="17.100000000000001" customHeight="1" x14ac:dyDescent="0.2">
      <c r="B2" s="217" t="s">
        <v>19</v>
      </c>
      <c r="C2" s="217"/>
      <c r="D2" s="217"/>
      <c r="E2" s="217"/>
      <c r="F2" s="217"/>
      <c r="G2" s="217"/>
      <c r="H2" s="217"/>
      <c r="I2" s="217"/>
      <c r="J2" s="217"/>
      <c r="K2" s="217"/>
      <c r="L2" s="217"/>
      <c r="M2" s="217"/>
      <c r="N2" s="217"/>
      <c r="U2" s="198">
        <f>COLUMN(R17)</f>
        <v>18</v>
      </c>
      <c r="V2" s="198">
        <f>COLUMN(S17)</f>
        <v>19</v>
      </c>
    </row>
    <row r="3" spans="2:22" x14ac:dyDescent="0.2">
      <c r="U3" s="198"/>
      <c r="V3" s="199">
        <f>COUNTIF(R17:R80,"&gt;0")-1</f>
        <v>60</v>
      </c>
    </row>
    <row r="4" spans="2:22" x14ac:dyDescent="0.2">
      <c r="B4" s="215" t="s">
        <v>20</v>
      </c>
      <c r="C4" s="215"/>
      <c r="D4" s="215"/>
      <c r="E4" s="215"/>
      <c r="F4" s="215"/>
    </row>
    <row r="6" spans="2:22" x14ac:dyDescent="0.2">
      <c r="B6" s="163" t="s">
        <v>13</v>
      </c>
      <c r="C6" s="163">
        <f>المدخلات!E22</f>
        <v>60</v>
      </c>
      <c r="E6" s="17" t="s">
        <v>18</v>
      </c>
      <c r="F6" s="14">
        <f ca="1">XIRR(S17:INDIRECT(ADDRESS($V$1+$V$3,$V$2)),R17:INDIRECT(ADDRESS($U$1+$V$3,$U$2)))</f>
        <v>5.426354706287384E-2</v>
      </c>
    </row>
    <row r="7" spans="2:22" x14ac:dyDescent="0.2">
      <c r="B7" s="164"/>
      <c r="C7" s="164"/>
      <c r="D7" s="128"/>
      <c r="E7" s="145"/>
      <c r="F7" s="146"/>
      <c r="G7" s="128"/>
    </row>
    <row r="8" spans="2:22" ht="15" customHeight="1" x14ac:dyDescent="0.2">
      <c r="B8" s="163" t="s">
        <v>23</v>
      </c>
      <c r="C8" s="165">
        <f>المدخلات!E17</f>
        <v>20000</v>
      </c>
      <c r="D8" s="88"/>
      <c r="E8" s="68"/>
      <c r="F8" s="68"/>
    </row>
    <row r="9" spans="2:22" x14ac:dyDescent="0.2">
      <c r="B9" s="163" t="s">
        <v>126</v>
      </c>
      <c r="C9" s="165">
        <f>-SUM(E18:E80)</f>
        <v>1669.2465884651849</v>
      </c>
      <c r="D9" s="61"/>
      <c r="E9" s="61"/>
    </row>
    <row r="10" spans="2:22" x14ac:dyDescent="0.2">
      <c r="B10" s="163" t="s">
        <v>24</v>
      </c>
      <c r="C10" s="165">
        <f>SUM($M$17:$M$80)</f>
        <v>1000</v>
      </c>
      <c r="D10" s="8"/>
      <c r="E10" s="68"/>
      <c r="F10" s="68"/>
    </row>
    <row r="11" spans="2:22" x14ac:dyDescent="0.2">
      <c r="B11" s="163" t="s">
        <v>25</v>
      </c>
      <c r="C11" s="166">
        <f>EDATE(المدخلات!E25,C6)</f>
        <v>47148</v>
      </c>
      <c r="D11" s="2"/>
      <c r="E11" s="2"/>
      <c r="F11" s="68"/>
      <c r="S11" s="8"/>
    </row>
    <row r="12" spans="2:22" x14ac:dyDescent="0.2">
      <c r="D12" s="2"/>
      <c r="E12" s="2"/>
      <c r="F12" s="68"/>
    </row>
    <row r="13" spans="2:22" x14ac:dyDescent="0.2">
      <c r="D13" s="2"/>
      <c r="E13" s="2"/>
      <c r="F13" s="68"/>
      <c r="I13" s="2"/>
      <c r="O13" s="15"/>
      <c r="S13" s="8"/>
    </row>
    <row r="14" spans="2:22" x14ac:dyDescent="0.2">
      <c r="D14" s="2"/>
      <c r="E14" s="2"/>
      <c r="F14" s="68"/>
      <c r="O14" s="7"/>
      <c r="P14" s="8"/>
      <c r="Q14" s="8"/>
    </row>
    <row r="15" spans="2:22" x14ac:dyDescent="0.2">
      <c r="E15" s="70"/>
      <c r="G15" s="69"/>
      <c r="M15" s="12"/>
      <c r="R15" s="216" t="s">
        <v>28</v>
      </c>
      <c r="S15" s="216"/>
    </row>
    <row r="16" spans="2:22" x14ac:dyDescent="0.2">
      <c r="B16" s="13" t="s">
        <v>21</v>
      </c>
      <c r="C16" s="13" t="s">
        <v>55</v>
      </c>
      <c r="D16" s="13" t="s">
        <v>94</v>
      </c>
      <c r="E16" s="13" t="s">
        <v>127</v>
      </c>
      <c r="F16" s="13" t="s">
        <v>37</v>
      </c>
      <c r="G16" s="13" t="s">
        <v>120</v>
      </c>
      <c r="H16" s="13" t="s">
        <v>95</v>
      </c>
      <c r="I16" s="13" t="s">
        <v>79</v>
      </c>
      <c r="J16" s="13" t="s">
        <v>9</v>
      </c>
      <c r="K16" s="13" t="s">
        <v>10</v>
      </c>
      <c r="L16" s="13" t="s">
        <v>8</v>
      </c>
      <c r="M16" s="13" t="s">
        <v>81</v>
      </c>
      <c r="N16" s="13" t="s">
        <v>82</v>
      </c>
      <c r="R16" s="13" t="s">
        <v>26</v>
      </c>
      <c r="S16" s="13" t="s">
        <v>27</v>
      </c>
    </row>
    <row r="17" spans="2:22" x14ac:dyDescent="0.2">
      <c r="B17" s="167">
        <v>0</v>
      </c>
      <c r="C17" s="168">
        <f>المدخلات!E23</f>
        <v>45292</v>
      </c>
      <c r="D17" s="169">
        <v>0</v>
      </c>
      <c r="E17" s="169">
        <v>0</v>
      </c>
      <c r="F17" s="169">
        <v>0</v>
      </c>
      <c r="G17" s="169">
        <v>0</v>
      </c>
      <c r="H17" s="169">
        <v>0</v>
      </c>
      <c r="I17" s="169">
        <v>0</v>
      </c>
      <c r="J17" s="169" t="str">
        <f>IF(AND(المدخلات!$H$17="دفعة مقدمة",B17=0),المدخلات!$J$17,"")</f>
        <v/>
      </c>
      <c r="K17" s="169" t="str">
        <f>IF(AND(المدخلات!$H$18="دفعة مقدمة",B17=0),المدخلات!$J$18,"")</f>
        <v/>
      </c>
      <c r="L17" s="169" t="str">
        <f>IF(AND(المدخلات!$H$19="دفعة مقدمة",B17=0),المدخلات!$J$19,"")</f>
        <v/>
      </c>
      <c r="M17" s="169">
        <f t="shared" ref="M17:M48" si="0">IF(B17&lt;&gt;"",SUM(J17:L17),"")</f>
        <v>0</v>
      </c>
      <c r="N17" s="170">
        <f t="shared" ref="N17:N77" si="1">IF(B17&lt;&gt;"",(-H17+M17),"")</f>
        <v>0</v>
      </c>
      <c r="R17" s="9">
        <f>المدخلات!E23</f>
        <v>45292</v>
      </c>
      <c r="S17" s="5">
        <f>-(C8-N17)</f>
        <v>-20000</v>
      </c>
      <c r="T17" s="122"/>
      <c r="U17" s="8"/>
      <c r="V17" s="8"/>
    </row>
    <row r="18" spans="2:22" x14ac:dyDescent="0.2">
      <c r="B18" s="167">
        <v>1</v>
      </c>
      <c r="C18" s="168">
        <f>المدخلات!E25</f>
        <v>45321</v>
      </c>
      <c r="D18" s="169">
        <f>IFERROR(PPMT(المدخلات!$E$18/12,B18,$C$6,المدخلات!$E$17)," ")</f>
        <v>-307.82077647441974</v>
      </c>
      <c r="E18" s="169">
        <f>IFERROR(IPMT(المدخلات!$E$18/12,B18,$C$6,المدخلات!$E$17)," ")</f>
        <v>-53.333333333333329</v>
      </c>
      <c r="F18" s="169">
        <f>D18</f>
        <v>-307.82077647441974</v>
      </c>
      <c r="G18" s="169">
        <f>E18</f>
        <v>-53.333333333333329</v>
      </c>
      <c r="H18" s="169">
        <f>IFERROR((D18+E18)," ")</f>
        <v>-361.15410980775306</v>
      </c>
      <c r="I18" s="169">
        <f>C8+D18</f>
        <v>19692.179223525582</v>
      </c>
      <c r="J18" s="169">
        <f>IF(B18&lt;&gt;"",IF(AND(المدخلات!$H$17="سنوي",MOD(B18,12)=0),المدخلات!$J$17,IF(AND(المدخلات!$H$17="القسط (الدفعة) الاول",B18=1),المدخلات!$J$17,IF(المدخلات!$H$17="شهري",المدخلات!$J$17,""))),"")</f>
        <v>1000</v>
      </c>
      <c r="K18" s="169" t="str">
        <f>IF(B18&lt;&gt;"",IF(AND(المدخلات!$H$18="سنوي",MOD(B18,12)=0),المدخلات!$J$18,IF(AND(المدخلات!$H$18="القسط (الدفعة) الاول",B18=1),المدخلات!$J$18,IF(المدخلات!$H$18="شهري",المدخلات!$J$18,""))),"")</f>
        <v/>
      </c>
      <c r="L18" s="169">
        <f>IF(B18&lt;&gt;"",IF(AND(المدخلات!$H$19="سنوي",MOD(B18,12)=0),المدخلات!$J$19,IF(AND(المدخلات!$H$19="القسط (الدفعة) الاول",B18=1),المدخلات!$J$19,IF(المدخلات!$H$19="شهري",المدخلات!$J$19,IF(AND(المدخلات!$H$19="End of the loan",B18=المدخلات!$E$22),المدخلات!$J$19,"")))),"")</f>
        <v>0</v>
      </c>
      <c r="M18" s="169">
        <f>IF(B18&lt;&gt;"",SUM(J18:L18),"")</f>
        <v>1000</v>
      </c>
      <c r="N18" s="170">
        <f>IF(B18&lt;&gt;"",(-H18+M18),"")</f>
        <v>1361.154109807753</v>
      </c>
      <c r="R18" s="9">
        <f>+C18</f>
        <v>45321</v>
      </c>
      <c r="S18" s="5">
        <f>IFERROR(ROUND(_xlfn.IFNA(VLOOKUP(R18,$C$18:$N$80,12,0),0),2)," ")</f>
        <v>1361.15</v>
      </c>
      <c r="T18" s="122"/>
    </row>
    <row r="19" spans="2:22" x14ac:dyDescent="0.2">
      <c r="B19" s="167">
        <f>IF(B18="","",IF((B18+1)&lt;=$C$6,B18+1,""))</f>
        <v>2</v>
      </c>
      <c r="C19" s="168">
        <f>IF(B19="","",EDATE($C$18,(B19-1)))</f>
        <v>45351</v>
      </c>
      <c r="D19" s="169">
        <f>IFERROR(IF(B19&lt;&gt;"",PPMT(المدخلات!$E$18/12,B19,$C$6,المدخلات!$E$17),"")," ")</f>
        <v>-308.64163187835157</v>
      </c>
      <c r="E19" s="169">
        <f>IFERROR(IPMT(المدخلات!$E$18/12,B19,$C$6,المدخلات!$E$17)," ")</f>
        <v>-52.512477929401527</v>
      </c>
      <c r="F19" s="169">
        <f t="shared" ref="F19:F50" si="2">IF(B19&lt;&gt;"",F18+D19,"")</f>
        <v>-616.46240835277126</v>
      </c>
      <c r="G19" s="169">
        <f t="shared" ref="G19:G50" si="3">IF(B19&lt;&gt;"",G18+E19,"")</f>
        <v>-105.84581126273486</v>
      </c>
      <c r="H19" s="169">
        <f t="shared" ref="H19:H77" si="4">IFERROR((D19+E19)," ")</f>
        <v>-361.15410980775312</v>
      </c>
      <c r="I19" s="169">
        <f t="shared" ref="I19:I50" si="5">IF(B19&lt;&gt;"",I18+D19,"")</f>
        <v>19383.537591647229</v>
      </c>
      <c r="J19" s="169" t="str">
        <f>IF(B19&lt;&gt;"",IF(AND(المدخلات!$H$17="سنوي",MOD(B19,12)=0),المدخلات!$J$17,IF(AND(المدخلات!$H$17="القسط (الدفعة) الاول",B19=1),المدخلات!$J$17,IF(المدخلات!$H$17="شهري",المدخلات!$J$17,""))),"")</f>
        <v/>
      </c>
      <c r="K19" s="169" t="str">
        <f>IF(B19&lt;&gt;"",IF(AND(المدخلات!$H$18="سنوي",MOD(B19,12)=0),المدخلات!$J$18,IF(AND(المدخلات!$H$18="القسط (الدفعة) الاول",B19=1),المدخلات!$J$18,IF(المدخلات!$H$18="شهري",المدخلات!$J$18,""))),"")</f>
        <v/>
      </c>
      <c r="L19" s="169">
        <f>IF(B19&lt;&gt;"",IF(AND(المدخلات!$H$19="سنوي",MOD(B19,12)=0),المدخلات!$J$19,IF(AND(المدخلات!$H$19="القسط (الدفعة) الاول",B19=1),المدخلات!$J$19,IF(المدخلات!$H$19="شهري",المدخلات!$J$19,IF(AND(المدخلات!$H$19="End of the loan",B19=المدخلات!$E$22),المدخلات!$J$19,"")))),"")</f>
        <v>0</v>
      </c>
      <c r="M19" s="169">
        <f t="shared" si="0"/>
        <v>0</v>
      </c>
      <c r="N19" s="170">
        <f>IF(B19&lt;&gt;"",(-H19+M19),"")</f>
        <v>361.15410980775312</v>
      </c>
      <c r="R19" s="9">
        <f t="shared" ref="R19:R77" si="6">+C19</f>
        <v>45351</v>
      </c>
      <c r="S19" s="5">
        <f t="shared" ref="S19:S77" si="7">IFERROR(ROUND(_xlfn.IFNA(VLOOKUP(R19,$C$18:$N$80,12,0),0),2)," ")</f>
        <v>361.15</v>
      </c>
      <c r="T19" s="122"/>
    </row>
    <row r="20" spans="2:22" x14ac:dyDescent="0.2">
      <c r="B20" s="167">
        <f t="shared" ref="B20:B77" si="8">IF(B19="","",IF((B19+1)&lt;=$C$6,B19+1,""))</f>
        <v>3</v>
      </c>
      <c r="C20" s="168">
        <f t="shared" ref="C20:C77" si="9">IF(B20="","",EDATE($C$18,(B20-1)))</f>
        <v>45381</v>
      </c>
      <c r="D20" s="169">
        <f>IFERROR(IF(B20&lt;&gt;"",PPMT(المدخلات!$E$18/12,B20,$C$6,المدخلات!$E$17),"")," ")</f>
        <v>-309.46467623002712</v>
      </c>
      <c r="E20" s="169">
        <f>IFERROR(IPMT(المدخلات!$E$18/12,B20,$C$6,المدخلات!$E$17)," ")</f>
        <v>-51.689433577725936</v>
      </c>
      <c r="F20" s="169">
        <f t="shared" si="2"/>
        <v>-925.92708458279844</v>
      </c>
      <c r="G20" s="169">
        <f t="shared" si="3"/>
        <v>-157.53524484046079</v>
      </c>
      <c r="H20" s="169">
        <f t="shared" si="4"/>
        <v>-361.15410980775306</v>
      </c>
      <c r="I20" s="169">
        <f t="shared" si="5"/>
        <v>19074.072915417204</v>
      </c>
      <c r="J20" s="169" t="str">
        <f>IF(B20&lt;&gt;"",IF(AND(المدخلات!$H$17="سنوي",MOD(B20,12)=0),المدخلات!$J$17,IF(AND(المدخلات!$H$17="القسط (الدفعة) الاول",B20=1),المدخلات!$J$17,IF(المدخلات!$H$17="شهري",المدخلات!$J$17,""))),"")</f>
        <v/>
      </c>
      <c r="K20" s="169" t="str">
        <f>IF(B20&lt;&gt;"",IF(AND(المدخلات!$H$18="سنوي",MOD(B20,12)=0),المدخلات!$J$18,IF(AND(المدخلات!$H$18="القسط (الدفعة) الاول",B20=1),المدخلات!$J$18,IF(المدخلات!$H$18="شهري",المدخلات!$J$18,""))),"")</f>
        <v/>
      </c>
      <c r="L20" s="169">
        <f>IF(B20&lt;&gt;"",IF(AND(المدخلات!$H$19="سنوي",MOD(B20,12)=0),المدخلات!$J$19,IF(AND(المدخلات!$H$19="القسط (الدفعة) الاول",B20=1),المدخلات!$J$19,IF(المدخلات!$H$19="شهري",المدخلات!$J$19,IF(AND(المدخلات!$H$19="End of the loan",B20=المدخلات!$E$22),المدخلات!$J$19,"")))),"")</f>
        <v>0</v>
      </c>
      <c r="M20" s="169">
        <f t="shared" si="0"/>
        <v>0</v>
      </c>
      <c r="N20" s="170">
        <f t="shared" si="1"/>
        <v>361.15410980775306</v>
      </c>
      <c r="R20" s="9">
        <f t="shared" si="6"/>
        <v>45381</v>
      </c>
      <c r="S20" s="5">
        <f t="shared" si="7"/>
        <v>361.15</v>
      </c>
      <c r="T20" s="122"/>
    </row>
    <row r="21" spans="2:22" x14ac:dyDescent="0.2">
      <c r="B21" s="167">
        <f t="shared" si="8"/>
        <v>4</v>
      </c>
      <c r="C21" s="168">
        <f t="shared" si="9"/>
        <v>45412</v>
      </c>
      <c r="D21" s="169">
        <f>IFERROR(IF(B21&lt;&gt;"",PPMT(المدخلات!$E$18/12,B21,$C$6,المدخلات!$E$17),"")," ")</f>
        <v>-310.28991536664051</v>
      </c>
      <c r="E21" s="169">
        <f>IFERROR(IPMT(المدخلات!$E$18/12,B21,$C$6,المدخلات!$E$17)," ")</f>
        <v>-50.864194441112531</v>
      </c>
      <c r="F21" s="169">
        <f t="shared" si="2"/>
        <v>-1236.216999949439</v>
      </c>
      <c r="G21" s="169">
        <f t="shared" si="3"/>
        <v>-208.39943928157334</v>
      </c>
      <c r="H21" s="169">
        <f t="shared" si="4"/>
        <v>-361.15410980775306</v>
      </c>
      <c r="I21" s="169">
        <f t="shared" si="5"/>
        <v>18763.783000050564</v>
      </c>
      <c r="J21" s="169" t="str">
        <f>IF(B21&lt;&gt;"",IF(AND(المدخلات!$H$17="سنوي",MOD(B21,12)=0),المدخلات!$J$17,IF(AND(المدخلات!$H$17="القسط (الدفعة) الاول",B21=1),المدخلات!$J$17,IF(المدخلات!$H$17="شهري",المدخلات!$J$17,""))),"")</f>
        <v/>
      </c>
      <c r="K21" s="169" t="str">
        <f>IF(B21&lt;&gt;"",IF(AND(المدخلات!$H$18="سنوي",MOD(B21,12)=0),المدخلات!$J$18,IF(AND(المدخلات!$H$18="القسط (الدفعة) الاول",B21=1),المدخلات!$J$18,IF(المدخلات!$H$18="شهري",المدخلات!$J$18,""))),"")</f>
        <v/>
      </c>
      <c r="L21" s="169">
        <f>IF(B21&lt;&gt;"",IF(AND(المدخلات!$H$19="سنوي",MOD(B21,12)=0),المدخلات!$J$19,IF(AND(المدخلات!$H$19="القسط (الدفعة) الاول",B21=1),المدخلات!$J$19,IF(المدخلات!$H$19="شهري",المدخلات!$J$19,IF(AND(المدخلات!$H$19="End of the loan",B21=المدخلات!$E$22),المدخلات!$J$19,"")))),"")</f>
        <v>0</v>
      </c>
      <c r="M21" s="169">
        <f t="shared" si="0"/>
        <v>0</v>
      </c>
      <c r="N21" s="170">
        <f t="shared" si="1"/>
        <v>361.15410980775306</v>
      </c>
      <c r="R21" s="9">
        <f t="shared" si="6"/>
        <v>45412</v>
      </c>
      <c r="S21" s="5">
        <f t="shared" si="7"/>
        <v>361.15</v>
      </c>
      <c r="T21" s="122"/>
    </row>
    <row r="22" spans="2:22" x14ac:dyDescent="0.2">
      <c r="B22" s="167">
        <f t="shared" si="8"/>
        <v>5</v>
      </c>
      <c r="C22" s="168">
        <f t="shared" si="9"/>
        <v>45442</v>
      </c>
      <c r="D22" s="169">
        <f>IFERROR(IF(B22&lt;&gt;"",PPMT(المدخلات!$E$18/12,B22,$C$6,المدخلات!$E$17),"")," ")</f>
        <v>-311.11735514095159</v>
      </c>
      <c r="E22" s="169">
        <f>IFERROR(IPMT(المدخلات!$E$18/12,B22,$C$6,المدخلات!$E$17)," ")</f>
        <v>-50.036754666801471</v>
      </c>
      <c r="F22" s="169">
        <f t="shared" si="2"/>
        <v>-1547.3343550903905</v>
      </c>
      <c r="G22" s="169">
        <f>IF(B22&lt;&gt;"",G21+E22,"")</f>
        <v>-258.43619394837481</v>
      </c>
      <c r="H22" s="169">
        <f t="shared" si="4"/>
        <v>-361.15410980775306</v>
      </c>
      <c r="I22" s="169">
        <f t="shared" si="5"/>
        <v>18452.665644909612</v>
      </c>
      <c r="J22" s="169" t="str">
        <f>IF(B22&lt;&gt;"",IF(AND(المدخلات!$H$17="سنوي",MOD(B22,12)=0),المدخلات!$J$17,IF(AND(المدخلات!$H$17="القسط (الدفعة) الاول",B22=1),المدخلات!$J$17,IF(المدخلات!$H$17="شهري",المدخلات!$J$17,""))),"")</f>
        <v/>
      </c>
      <c r="K22" s="169" t="str">
        <f>IF(B22&lt;&gt;"",IF(AND(المدخلات!$H$18="سنوي",MOD(B22,12)=0),المدخلات!$J$18,IF(AND(المدخلات!$H$18="القسط (الدفعة) الاول",B22=1),المدخلات!$J$18,IF(المدخلات!$H$18="شهري",المدخلات!$J$18,""))),"")</f>
        <v/>
      </c>
      <c r="L22" s="169">
        <f>IF(B22&lt;&gt;"",IF(AND(المدخلات!$H$19="سنوي",MOD(B22,12)=0),المدخلات!$J$19,IF(AND(المدخلات!$H$19="القسط (الدفعة) الاول",B22=1),المدخلات!$J$19,IF(المدخلات!$H$19="شهري",المدخلات!$J$19,IF(AND(المدخلات!$H$19="End of the loan",B22=المدخلات!$E$22),المدخلات!$J$19,"")))),"")</f>
        <v>0</v>
      </c>
      <c r="M22" s="169">
        <f t="shared" si="0"/>
        <v>0</v>
      </c>
      <c r="N22" s="170">
        <f t="shared" si="1"/>
        <v>361.15410980775306</v>
      </c>
      <c r="R22" s="9">
        <f t="shared" si="6"/>
        <v>45442</v>
      </c>
      <c r="S22" s="5">
        <f t="shared" si="7"/>
        <v>361.15</v>
      </c>
      <c r="T22" s="122"/>
    </row>
    <row r="23" spans="2:22" x14ac:dyDescent="0.2">
      <c r="B23" s="167">
        <f t="shared" si="8"/>
        <v>6</v>
      </c>
      <c r="C23" s="168">
        <f t="shared" si="9"/>
        <v>45473</v>
      </c>
      <c r="D23" s="169">
        <f>IFERROR(IF(B23&lt;&gt;"",PPMT(المدخلات!$E$18/12,B23,$C$6,المدخلات!$E$17),"")," ")</f>
        <v>-311.94700142132746</v>
      </c>
      <c r="E23" s="169">
        <f>IFERROR(IPMT(المدخلات!$E$18/12,B23,$C$6,المدخلات!$E$17)," ")</f>
        <v>-49.20710838642561</v>
      </c>
      <c r="F23" s="169">
        <f t="shared" si="2"/>
        <v>-1859.2813565117181</v>
      </c>
      <c r="G23" s="169">
        <f t="shared" si="3"/>
        <v>-307.64330233480041</v>
      </c>
      <c r="H23" s="169">
        <f t="shared" si="4"/>
        <v>-361.15410980775306</v>
      </c>
      <c r="I23" s="169">
        <f t="shared" si="5"/>
        <v>18140.718643488286</v>
      </c>
      <c r="J23" s="169" t="str">
        <f>IF(B23&lt;&gt;"",IF(AND(المدخلات!$H$17="سنوي",MOD(B23,12)=0),المدخلات!$J$17,IF(AND(المدخلات!$H$17="القسط (الدفعة) الاول",B23=1),المدخلات!$J$17,IF(المدخلات!$H$17="شهري",المدخلات!$J$17,""))),"")</f>
        <v/>
      </c>
      <c r="K23" s="169" t="str">
        <f>IF(B23&lt;&gt;"",IF(AND(المدخلات!$H$18="سنوي",MOD(B23,12)=0),المدخلات!$J$18,IF(AND(المدخلات!$H$18="القسط (الدفعة) الاول",B23=1),المدخلات!$J$18,IF(المدخلات!$H$18="شهري",المدخلات!$J$18,""))),"")</f>
        <v/>
      </c>
      <c r="L23" s="169">
        <f>IF(B23&lt;&gt;"",IF(AND(المدخلات!$H$19="سنوي",MOD(B23,12)=0),المدخلات!$J$19,IF(AND(المدخلات!$H$19="القسط (الدفعة) الاول",B23=1),المدخلات!$J$19,IF(المدخلات!$H$19="شهري",المدخلات!$J$19,IF(AND(المدخلات!$H$19="End of the loan",B23=المدخلات!$E$22),المدخلات!$J$19,"")))),"")</f>
        <v>0</v>
      </c>
      <c r="M23" s="169">
        <f t="shared" si="0"/>
        <v>0</v>
      </c>
      <c r="N23" s="170">
        <f t="shared" si="1"/>
        <v>361.15410980775306</v>
      </c>
      <c r="R23" s="9">
        <f t="shared" si="6"/>
        <v>45473</v>
      </c>
      <c r="S23" s="5">
        <f t="shared" si="7"/>
        <v>361.15</v>
      </c>
      <c r="T23" s="122"/>
    </row>
    <row r="24" spans="2:22" x14ac:dyDescent="0.2">
      <c r="B24" s="167">
        <f t="shared" si="8"/>
        <v>7</v>
      </c>
      <c r="C24" s="168">
        <f t="shared" si="9"/>
        <v>45503</v>
      </c>
      <c r="D24" s="169">
        <f>IFERROR(IF(B24&lt;&gt;"",PPMT(المدخلات!$E$18/12,B24,$C$6,المدخلات!$E$17),"")," ")</f>
        <v>-312.77886009178434</v>
      </c>
      <c r="E24" s="169">
        <f>IFERROR(IPMT(المدخلات!$E$18/12,B24,$C$6,المدخلات!$E$17)," ")</f>
        <v>-48.375249715968749</v>
      </c>
      <c r="F24" s="169">
        <f t="shared" si="2"/>
        <v>-2172.0602166035023</v>
      </c>
      <c r="G24" s="169">
        <f t="shared" si="3"/>
        <v>-356.01855205076913</v>
      </c>
      <c r="H24" s="169">
        <f t="shared" si="4"/>
        <v>-361.15410980775312</v>
      </c>
      <c r="I24" s="169">
        <f t="shared" si="5"/>
        <v>17827.939783396501</v>
      </c>
      <c r="J24" s="169" t="str">
        <f>IF(B24&lt;&gt;"",IF(AND(المدخلات!$H$17="سنوي",MOD(B24,12)=0),المدخلات!$J$17,IF(AND(المدخلات!$H$17="القسط (الدفعة) الاول",B24=1),المدخلات!$J$17,IF(المدخلات!$H$17="شهري",المدخلات!$J$17,""))),"")</f>
        <v/>
      </c>
      <c r="K24" s="169" t="str">
        <f>IF(B24&lt;&gt;"",IF(AND(المدخلات!$H$18="سنوي",MOD(B24,12)=0),المدخلات!$J$18,IF(AND(المدخلات!$H$18="القسط (الدفعة) الاول",B24=1),المدخلات!$J$18,IF(المدخلات!$H$18="شهري",المدخلات!$J$18,""))),"")</f>
        <v/>
      </c>
      <c r="L24" s="169">
        <f>IF(B24&lt;&gt;"",IF(AND(المدخلات!$H$19="سنوي",MOD(B24,12)=0),المدخلات!$J$19,IF(AND(المدخلات!$H$19="القسط (الدفعة) الاول",B24=1),المدخلات!$J$19,IF(المدخلات!$H$19="شهري",المدخلات!$J$19,IF(AND(المدخلات!$H$19="End of the loan",B24=المدخلات!$E$22),المدخلات!$J$19,"")))),"")</f>
        <v>0</v>
      </c>
      <c r="M24" s="169">
        <f t="shared" si="0"/>
        <v>0</v>
      </c>
      <c r="N24" s="170">
        <f t="shared" si="1"/>
        <v>361.15410980775312</v>
      </c>
      <c r="R24" s="9">
        <f t="shared" si="6"/>
        <v>45503</v>
      </c>
      <c r="S24" s="5">
        <f t="shared" si="7"/>
        <v>361.15</v>
      </c>
      <c r="T24" s="122"/>
    </row>
    <row r="25" spans="2:22" x14ac:dyDescent="0.2">
      <c r="B25" s="167">
        <f t="shared" si="8"/>
        <v>8</v>
      </c>
      <c r="C25" s="168">
        <f t="shared" si="9"/>
        <v>45534</v>
      </c>
      <c r="D25" s="169">
        <f>IFERROR(IF(B25&lt;&gt;"",PPMT(المدخلات!$E$18/12,B25,$C$6,المدخلات!$E$17),"")," ")</f>
        <v>-313.61293705202911</v>
      </c>
      <c r="E25" s="169">
        <f>IFERROR(IPMT(المدخلات!$E$18/12,B25,$C$6,المدخلات!$E$17)," ")</f>
        <v>-47.541172755723984</v>
      </c>
      <c r="F25" s="169">
        <f t="shared" si="2"/>
        <v>-2485.6731536555317</v>
      </c>
      <c r="G25" s="169">
        <f t="shared" si="3"/>
        <v>-403.55972480649314</v>
      </c>
      <c r="H25" s="169">
        <f t="shared" si="4"/>
        <v>-361.15410980775312</v>
      </c>
      <c r="I25" s="169">
        <f t="shared" si="5"/>
        <v>17514.326846344473</v>
      </c>
      <c r="J25" s="169" t="str">
        <f>IF(B25&lt;&gt;"",IF(AND(المدخلات!$H$17="سنوي",MOD(B25,12)=0),المدخلات!$J$17,IF(AND(المدخلات!$H$17="القسط (الدفعة) الاول",B25=1),المدخلات!$J$17,IF(المدخلات!$H$17="شهري",المدخلات!$J$17,""))),"")</f>
        <v/>
      </c>
      <c r="K25" s="169" t="str">
        <f>IF(B25&lt;&gt;"",IF(AND(المدخلات!$H$18="سنوي",MOD(B25,12)=0),المدخلات!$J$18,IF(AND(المدخلات!$H$18="القسط (الدفعة) الاول",B25=1),المدخلات!$J$18,IF(المدخلات!$H$18="شهري",المدخلات!$J$18,""))),"")</f>
        <v/>
      </c>
      <c r="L25" s="169">
        <f>IF(B25&lt;&gt;"",IF(AND(المدخلات!$H$19="سنوي",MOD(B25,12)=0),المدخلات!$J$19,IF(AND(المدخلات!$H$19="القسط (الدفعة) الاول",B25=1),المدخلات!$J$19,IF(المدخلات!$H$19="شهري",المدخلات!$J$19,IF(AND(المدخلات!$H$19="End of the loan",B25=المدخلات!$E$22),المدخلات!$J$19,"")))),"")</f>
        <v>0</v>
      </c>
      <c r="M25" s="169">
        <f t="shared" si="0"/>
        <v>0</v>
      </c>
      <c r="N25" s="170">
        <f t="shared" si="1"/>
        <v>361.15410980775312</v>
      </c>
      <c r="R25" s="9">
        <f t="shared" si="6"/>
        <v>45534</v>
      </c>
      <c r="S25" s="5">
        <f t="shared" si="7"/>
        <v>361.15</v>
      </c>
      <c r="T25" s="122"/>
    </row>
    <row r="26" spans="2:22" x14ac:dyDescent="0.2">
      <c r="B26" s="167">
        <f t="shared" si="8"/>
        <v>9</v>
      </c>
      <c r="C26" s="168">
        <f t="shared" si="9"/>
        <v>45565</v>
      </c>
      <c r="D26" s="169">
        <f>IFERROR(IF(B26&lt;&gt;"",PPMT(المدخلات!$E$18/12,B26,$C$6,المدخلات!$E$17),"")," ")</f>
        <v>-314.44923821750115</v>
      </c>
      <c r="E26" s="169">
        <f>IFERROR(IPMT(المدخلات!$E$18/12,B26,$C$6,المدخلات!$E$17)," ")</f>
        <v>-46.704871590251905</v>
      </c>
      <c r="F26" s="169">
        <f t="shared" si="2"/>
        <v>-2800.1223918730329</v>
      </c>
      <c r="G26" s="169">
        <f t="shared" si="3"/>
        <v>-450.26459639674505</v>
      </c>
      <c r="H26" s="169">
        <f t="shared" si="4"/>
        <v>-361.15410980775306</v>
      </c>
      <c r="I26" s="169">
        <f t="shared" si="5"/>
        <v>17199.877608126972</v>
      </c>
      <c r="J26" s="169" t="str">
        <f>IF(B26&lt;&gt;"",IF(AND(المدخلات!$H$17="سنوي",MOD(B26,12)=0),المدخلات!$J$17,IF(AND(المدخلات!$H$17="القسط (الدفعة) الاول",B26=1),المدخلات!$J$17,IF(المدخلات!$H$17="شهري",المدخلات!$J$17,""))),"")</f>
        <v/>
      </c>
      <c r="K26" s="169" t="str">
        <f>IF(B26&lt;&gt;"",IF(AND(المدخلات!$H$18="سنوي",MOD(B26,12)=0),المدخلات!$J$18,IF(AND(المدخلات!$H$18="القسط (الدفعة) الاول",B26=1),المدخلات!$J$18,IF(المدخلات!$H$18="شهري",المدخلات!$J$18,""))),"")</f>
        <v/>
      </c>
      <c r="L26" s="169">
        <f>IF(B26&lt;&gt;"",IF(AND(المدخلات!$H$19="سنوي",MOD(B26,12)=0),المدخلات!$J$19,IF(AND(المدخلات!$H$19="القسط (الدفعة) الاول",B26=1),المدخلات!$J$19,IF(المدخلات!$H$19="شهري",المدخلات!$J$19,IF(AND(المدخلات!$H$19="End of the loan",B26=المدخلات!$E$22),المدخلات!$J$19,"")))),"")</f>
        <v>0</v>
      </c>
      <c r="M26" s="169">
        <f t="shared" si="0"/>
        <v>0</v>
      </c>
      <c r="N26" s="170">
        <f t="shared" si="1"/>
        <v>361.15410980775306</v>
      </c>
      <c r="R26" s="9">
        <f t="shared" si="6"/>
        <v>45565</v>
      </c>
      <c r="S26" s="5">
        <f t="shared" si="7"/>
        <v>361.15</v>
      </c>
      <c r="T26" s="122"/>
    </row>
    <row r="27" spans="2:22" x14ac:dyDescent="0.2">
      <c r="B27" s="167">
        <f t="shared" si="8"/>
        <v>10</v>
      </c>
      <c r="C27" s="168">
        <f t="shared" si="9"/>
        <v>45595</v>
      </c>
      <c r="D27" s="169">
        <f>IFERROR(IF(B27&lt;&gt;"",PPMT(المدخلات!$E$18/12,B27,$C$6,المدخلات!$E$17),"")," ")</f>
        <v>-315.2877695194145</v>
      </c>
      <c r="E27" s="169">
        <f>IFERROR(IPMT(المدخلات!$E$18/12,B27,$C$6,المدخلات!$E$17)," ")</f>
        <v>-45.86634028833857</v>
      </c>
      <c r="F27" s="169">
        <f t="shared" si="2"/>
        <v>-3115.4101613924477</v>
      </c>
      <c r="G27" s="169">
        <f t="shared" si="3"/>
        <v>-496.13093668508361</v>
      </c>
      <c r="H27" s="169">
        <f t="shared" si="4"/>
        <v>-361.15410980775306</v>
      </c>
      <c r="I27" s="169">
        <f t="shared" si="5"/>
        <v>16884.589838607557</v>
      </c>
      <c r="J27" s="169" t="str">
        <f>IF(B27&lt;&gt;"",IF(AND(المدخلات!$H$17="سنوي",MOD(B27,12)=0),المدخلات!$J$17,IF(AND(المدخلات!$H$17="القسط (الدفعة) الاول",B27=1),المدخلات!$J$17,IF(المدخلات!$H$17="شهري",المدخلات!$J$17,""))),"")</f>
        <v/>
      </c>
      <c r="K27" s="169" t="str">
        <f>IF(B27&lt;&gt;"",IF(AND(المدخلات!$H$18="سنوي",MOD(B27,12)=0),المدخلات!$J$18,IF(AND(المدخلات!$H$18="القسط (الدفعة) الاول",B27=1),المدخلات!$J$18,IF(المدخلات!$H$18="شهري",المدخلات!$J$18,""))),"")</f>
        <v/>
      </c>
      <c r="L27" s="169">
        <f>IF(B27&lt;&gt;"",IF(AND(المدخلات!$H$19="سنوي",MOD(B27,12)=0),المدخلات!$J$19,IF(AND(المدخلات!$H$19="القسط (الدفعة) الاول",B27=1),المدخلات!$J$19,IF(المدخلات!$H$19="شهري",المدخلات!$J$19,IF(AND(المدخلات!$H$19="End of the loan",B27=المدخلات!$E$22),المدخلات!$J$19,"")))),"")</f>
        <v>0</v>
      </c>
      <c r="M27" s="169">
        <f t="shared" si="0"/>
        <v>0</v>
      </c>
      <c r="N27" s="170">
        <f t="shared" si="1"/>
        <v>361.15410980775306</v>
      </c>
      <c r="R27" s="9">
        <f t="shared" si="6"/>
        <v>45595</v>
      </c>
      <c r="S27" s="5">
        <f t="shared" si="7"/>
        <v>361.15</v>
      </c>
      <c r="T27" s="122"/>
    </row>
    <row r="28" spans="2:22" x14ac:dyDescent="0.2">
      <c r="B28" s="167">
        <f t="shared" si="8"/>
        <v>11</v>
      </c>
      <c r="C28" s="168">
        <f t="shared" si="9"/>
        <v>45626</v>
      </c>
      <c r="D28" s="169">
        <f>IFERROR(IF(B28&lt;&gt;"",PPMT(المدخلات!$E$18/12,B28,$C$6,المدخلات!$E$17),"")," ")</f>
        <v>-316.1285369047996</v>
      </c>
      <c r="E28" s="169">
        <f>IFERROR(IPMT(المدخلات!$E$18/12,B28,$C$6,المدخلات!$E$17)," ")</f>
        <v>-45.025572902953463</v>
      </c>
      <c r="F28" s="169">
        <f t="shared" si="2"/>
        <v>-3431.5386982972473</v>
      </c>
      <c r="G28" s="169">
        <f t="shared" si="3"/>
        <v>-541.15650958803712</v>
      </c>
      <c r="H28" s="169">
        <f t="shared" si="4"/>
        <v>-361.15410980775306</v>
      </c>
      <c r="I28" s="169">
        <f t="shared" si="5"/>
        <v>16568.461301702759</v>
      </c>
      <c r="J28" s="169" t="str">
        <f>IF(B28&lt;&gt;"",IF(AND(المدخلات!$H$17="سنوي",MOD(B28,12)=0),المدخلات!$J$17,IF(AND(المدخلات!$H$17="القسط (الدفعة) الاول",B28=1),المدخلات!$J$17,IF(المدخلات!$H$17="شهري",المدخلات!$J$17,""))),"")</f>
        <v/>
      </c>
      <c r="K28" s="169" t="str">
        <f>IF(B28&lt;&gt;"",IF(AND(المدخلات!$H$18="سنوي",MOD(B28,12)=0),المدخلات!$J$18,IF(AND(المدخلات!$H$18="القسط (الدفعة) الاول",B28=1),المدخلات!$J$18,IF(المدخلات!$H$18="شهري",المدخلات!$J$18,""))),"")</f>
        <v/>
      </c>
      <c r="L28" s="169">
        <f>IF(B28&lt;&gt;"",IF(AND(المدخلات!$H$19="سنوي",MOD(B28,12)=0),المدخلات!$J$19,IF(AND(المدخلات!$H$19="القسط (الدفعة) الاول",B28=1),المدخلات!$J$19,IF(المدخلات!$H$19="شهري",المدخلات!$J$19,IF(AND(المدخلات!$H$19="End of the loan",B28=المدخلات!$E$22),المدخلات!$J$19,"")))),"")</f>
        <v>0</v>
      </c>
      <c r="M28" s="169">
        <f t="shared" si="0"/>
        <v>0</v>
      </c>
      <c r="N28" s="170">
        <f t="shared" si="1"/>
        <v>361.15410980775306</v>
      </c>
      <c r="R28" s="9">
        <f t="shared" si="6"/>
        <v>45626</v>
      </c>
      <c r="S28" s="5">
        <f t="shared" si="7"/>
        <v>361.15</v>
      </c>
      <c r="T28" s="122"/>
    </row>
    <row r="29" spans="2:22" x14ac:dyDescent="0.2">
      <c r="B29" s="167">
        <f t="shared" si="8"/>
        <v>12</v>
      </c>
      <c r="C29" s="168">
        <f t="shared" si="9"/>
        <v>45656</v>
      </c>
      <c r="D29" s="169">
        <f>IFERROR(IF(B29&lt;&gt;"",PPMT(المدخلات!$E$18/12,B29,$C$6,المدخلات!$E$17),"")," ")</f>
        <v>-316.97154633654571</v>
      </c>
      <c r="E29" s="169">
        <f>IFERROR(IPMT(المدخلات!$E$18/12,B29,$C$6,المدخلات!$E$17)," ")</f>
        <v>-44.182563471207324</v>
      </c>
      <c r="F29" s="169">
        <f t="shared" si="2"/>
        <v>-3748.5102446337928</v>
      </c>
      <c r="G29" s="169">
        <f t="shared" si="3"/>
        <v>-585.33907305924447</v>
      </c>
      <c r="H29" s="169">
        <f t="shared" si="4"/>
        <v>-361.15410980775306</v>
      </c>
      <c r="I29" s="169">
        <f t="shared" si="5"/>
        <v>16251.489755366212</v>
      </c>
      <c r="J29" s="169" t="str">
        <f>IF(B29&lt;&gt;"",IF(AND(المدخلات!$H$17="سنوي",MOD(B29,12)=0),المدخلات!$J$17,IF(AND(المدخلات!$H$17="القسط (الدفعة) الاول",B29=1),المدخلات!$J$17,IF(المدخلات!$H$17="شهري",المدخلات!$J$17,""))),"")</f>
        <v/>
      </c>
      <c r="K29" s="169">
        <f>IF(B29&lt;&gt;"",IF(AND(المدخلات!$H$18="سنوي",MOD(B29,12)=0),المدخلات!$J$18,IF(AND(المدخلات!$H$18="القسط (الدفعة) الاول",B29=1),المدخلات!$J$18,IF(المدخلات!$H$18="شهري",المدخلات!$J$18,""))),"")</f>
        <v>0</v>
      </c>
      <c r="L29" s="169">
        <f>IF(B29&lt;&gt;"",IF(AND(المدخلات!$H$19="سنوي",MOD(B29,12)=0),المدخلات!$J$19,IF(AND(المدخلات!$H$19="القسط (الدفعة) الاول",B29=1),المدخلات!$J$19,IF(المدخلات!$H$19="شهري",المدخلات!$J$19,IF(AND(المدخلات!$H$19="End of the loan",B29=المدخلات!$E$22),المدخلات!$J$19,"")))),"")</f>
        <v>0</v>
      </c>
      <c r="M29" s="169">
        <f t="shared" si="0"/>
        <v>0</v>
      </c>
      <c r="N29" s="170">
        <f t="shared" si="1"/>
        <v>361.15410980775306</v>
      </c>
      <c r="R29" s="9">
        <f t="shared" si="6"/>
        <v>45656</v>
      </c>
      <c r="S29" s="5">
        <f t="shared" si="7"/>
        <v>361.15</v>
      </c>
      <c r="T29" s="122"/>
    </row>
    <row r="30" spans="2:22" x14ac:dyDescent="0.2">
      <c r="B30" s="167">
        <f t="shared" si="8"/>
        <v>13</v>
      </c>
      <c r="C30" s="168">
        <f t="shared" si="9"/>
        <v>45687</v>
      </c>
      <c r="D30" s="169">
        <f>IFERROR(IF(B30&lt;&gt;"",PPMT(المدخلات!$E$18/12,B30,$C$6,المدخلات!$E$17),"")," ")</f>
        <v>-317.81680379344317</v>
      </c>
      <c r="E30" s="169">
        <f>IFERROR(IPMT(المدخلات!$E$18/12,B30,$C$6,المدخلات!$E$17)," ")</f>
        <v>-43.337306014309881</v>
      </c>
      <c r="F30" s="169">
        <f t="shared" si="2"/>
        <v>-4066.3270484272362</v>
      </c>
      <c r="G30" s="169">
        <f t="shared" si="3"/>
        <v>-628.67637907355436</v>
      </c>
      <c r="H30" s="169">
        <f t="shared" si="4"/>
        <v>-361.15410980775306</v>
      </c>
      <c r="I30" s="169">
        <f t="shared" si="5"/>
        <v>15933.672951572769</v>
      </c>
      <c r="J30" s="169" t="str">
        <f>IF(B30&lt;&gt;"",IF(AND(المدخلات!$H$17="سنوي",MOD(B30,12)=0),المدخلات!$J$17,IF(AND(المدخلات!$H$17="القسط (الدفعة) الاول",B30=1),المدخلات!$J$17,IF(المدخلات!$H$17="شهري",المدخلات!$J$17,""))),"")</f>
        <v/>
      </c>
      <c r="K30" s="169" t="str">
        <f>IF(B30&lt;&gt;"",IF(AND(المدخلات!$H$18="سنوي",MOD(B30,12)=0),المدخلات!$J$18,IF(AND(المدخلات!$H$18="القسط (الدفعة) الاول",B30=1),المدخلات!$J$18,IF(المدخلات!$H$18="شهري",المدخلات!$J$18,""))),"")</f>
        <v/>
      </c>
      <c r="L30" s="169">
        <f>IF(B30&lt;&gt;"",IF(AND(المدخلات!$H$19="سنوي",MOD(B30,12)=0),المدخلات!$J$19,IF(AND(المدخلات!$H$19="القسط (الدفعة) الاول",B30=1),المدخلات!$J$19,IF(المدخلات!$H$19="شهري",المدخلات!$J$19,IF(AND(المدخلات!$H$19="End of the loan",B30=المدخلات!$E$22),المدخلات!$J$19,"")))),"")</f>
        <v>0</v>
      </c>
      <c r="M30" s="169">
        <f t="shared" si="0"/>
        <v>0</v>
      </c>
      <c r="N30" s="170">
        <f t="shared" si="1"/>
        <v>361.15410980775306</v>
      </c>
      <c r="R30" s="9">
        <f t="shared" si="6"/>
        <v>45687</v>
      </c>
      <c r="S30" s="5">
        <f t="shared" si="7"/>
        <v>361.15</v>
      </c>
      <c r="T30" s="122"/>
    </row>
    <row r="31" spans="2:22" x14ac:dyDescent="0.2">
      <c r="B31" s="167">
        <f t="shared" si="8"/>
        <v>14</v>
      </c>
      <c r="C31" s="168">
        <f t="shared" si="9"/>
        <v>45716</v>
      </c>
      <c r="D31" s="169">
        <f>IFERROR(IF(B31&lt;&gt;"",PPMT(المدخلات!$E$18/12,B31,$C$6,المدخلات!$E$17),"")," ")</f>
        <v>-318.6643152702257</v>
      </c>
      <c r="E31" s="169">
        <f>IFERROR(IPMT(المدخلات!$E$18/12,B31,$C$6,المدخلات!$E$17)," ")</f>
        <v>-42.489794537527359</v>
      </c>
      <c r="F31" s="169">
        <f t="shared" si="2"/>
        <v>-4384.9913636974616</v>
      </c>
      <c r="G31" s="169">
        <f t="shared" si="3"/>
        <v>-671.16617361108172</v>
      </c>
      <c r="H31" s="169">
        <f t="shared" si="4"/>
        <v>-361.15410980775306</v>
      </c>
      <c r="I31" s="169">
        <f t="shared" si="5"/>
        <v>15615.008636302544</v>
      </c>
      <c r="J31" s="169" t="str">
        <f>IF(B31&lt;&gt;"",IF(AND(المدخلات!$H$17="سنوي",MOD(B31,12)=0),المدخلات!$J$17,IF(AND(المدخلات!$H$17="القسط (الدفعة) الاول",B31=1),المدخلات!$J$17,IF(المدخلات!$H$17="شهري",المدخلات!$J$17,""))),"")</f>
        <v/>
      </c>
      <c r="K31" s="169" t="str">
        <f>IF(B31&lt;&gt;"",IF(AND(المدخلات!$H$18="سنوي",MOD(B31,12)=0),المدخلات!$J$18,IF(AND(المدخلات!$H$18="القسط (الدفعة) الاول",B31=1),المدخلات!$J$18,IF(المدخلات!$H$18="شهري",المدخلات!$J$18,""))),"")</f>
        <v/>
      </c>
      <c r="L31" s="169">
        <f>IF(B31&lt;&gt;"",IF(AND(المدخلات!$H$19="سنوي",MOD(B31,12)=0),المدخلات!$J$19,IF(AND(المدخلات!$H$19="القسط (الدفعة) الاول",B31=1),المدخلات!$J$19,IF(المدخلات!$H$19="شهري",المدخلات!$J$19,IF(AND(المدخلات!$H$19="End of the loan",B31=المدخلات!$E$22),المدخلات!$J$19,"")))),"")</f>
        <v>0</v>
      </c>
      <c r="M31" s="169">
        <f t="shared" si="0"/>
        <v>0</v>
      </c>
      <c r="N31" s="170">
        <f t="shared" si="1"/>
        <v>361.15410980775306</v>
      </c>
      <c r="R31" s="9">
        <f t="shared" si="6"/>
        <v>45716</v>
      </c>
      <c r="S31" s="5">
        <f t="shared" si="7"/>
        <v>361.15</v>
      </c>
      <c r="T31" s="122"/>
    </row>
    <row r="32" spans="2:22" x14ac:dyDescent="0.2">
      <c r="B32" s="167">
        <f t="shared" si="8"/>
        <v>15</v>
      </c>
      <c r="C32" s="168">
        <f t="shared" si="9"/>
        <v>45746</v>
      </c>
      <c r="D32" s="169">
        <f>IFERROR(IF(B32&lt;&gt;"",PPMT(المدخلات!$E$18/12,B32,$C$6,المدخلات!$E$17),"")," ")</f>
        <v>-319.51408677761293</v>
      </c>
      <c r="E32" s="169">
        <f>IFERROR(IPMT(المدخلات!$E$18/12,B32,$C$6,المدخلات!$E$17)," ")</f>
        <v>-41.6400230301401</v>
      </c>
      <c r="F32" s="169">
        <f t="shared" si="2"/>
        <v>-4704.5054504750742</v>
      </c>
      <c r="G32" s="169">
        <f t="shared" si="3"/>
        <v>-712.80619664122185</v>
      </c>
      <c r="H32" s="169">
        <f t="shared" si="4"/>
        <v>-361.154109807753</v>
      </c>
      <c r="I32" s="169">
        <f t="shared" si="5"/>
        <v>15295.49454952493</v>
      </c>
      <c r="J32" s="169" t="str">
        <f>IF(B32&lt;&gt;"",IF(AND(المدخلات!$H$17="سنوي",MOD(B32,12)=0),المدخلات!$J$17,IF(AND(المدخلات!$H$17="القسط (الدفعة) الاول",B32=1),المدخلات!$J$17,IF(المدخلات!$H$17="شهري",المدخلات!$J$17,""))),"")</f>
        <v/>
      </c>
      <c r="K32" s="169" t="str">
        <f>IF(B32&lt;&gt;"",IF(AND(المدخلات!$H$18="سنوي",MOD(B32,12)=0),المدخلات!$J$18,IF(AND(المدخلات!$H$18="القسط (الدفعة) الاول",B32=1),المدخلات!$J$18,IF(المدخلات!$H$18="شهري",المدخلات!$J$18,""))),"")</f>
        <v/>
      </c>
      <c r="L32" s="169">
        <f>IF(B32&lt;&gt;"",IF(AND(المدخلات!$H$19="سنوي",MOD(B32,12)=0),المدخلات!$J$19,IF(AND(المدخلات!$H$19="القسط (الدفعة) الاول",B32=1),المدخلات!$J$19,IF(المدخلات!$H$19="شهري",المدخلات!$J$19,IF(AND(المدخلات!$H$19="End of the loan",B32=المدخلات!$E$22),المدخلات!$J$19,"")))),"")</f>
        <v>0</v>
      </c>
      <c r="M32" s="169">
        <f t="shared" si="0"/>
        <v>0</v>
      </c>
      <c r="N32" s="170">
        <f t="shared" si="1"/>
        <v>361.154109807753</v>
      </c>
      <c r="R32" s="9">
        <f t="shared" si="6"/>
        <v>45746</v>
      </c>
      <c r="S32" s="5">
        <f t="shared" si="7"/>
        <v>361.15</v>
      </c>
      <c r="T32" s="122"/>
    </row>
    <row r="33" spans="2:20" x14ac:dyDescent="0.2">
      <c r="B33" s="167">
        <f t="shared" si="8"/>
        <v>16</v>
      </c>
      <c r="C33" s="168">
        <f t="shared" si="9"/>
        <v>45777</v>
      </c>
      <c r="D33" s="169">
        <f>IFERROR(IF(B33&lt;&gt;"",PPMT(المدخلات!$E$18/12,B33,$C$6,المدخلات!$E$17),"")," ")</f>
        <v>-320.36612434235326</v>
      </c>
      <c r="E33" s="169">
        <f>IFERROR(IPMT(المدخلات!$E$18/12,B33,$C$6,المدخلات!$E$17)," ")</f>
        <v>-40.787985465399807</v>
      </c>
      <c r="F33" s="169">
        <f t="shared" si="2"/>
        <v>-5024.8715748174272</v>
      </c>
      <c r="G33" s="169">
        <f t="shared" si="3"/>
        <v>-753.5941821066217</v>
      </c>
      <c r="H33" s="169">
        <f t="shared" si="4"/>
        <v>-361.15410980775306</v>
      </c>
      <c r="I33" s="169">
        <f t="shared" si="5"/>
        <v>14975.128425182576</v>
      </c>
      <c r="J33" s="169" t="str">
        <f>IF(B33&lt;&gt;"",IF(AND(المدخلات!$H$17="سنوي",MOD(B33,12)=0),المدخلات!$J$17,IF(AND(المدخلات!$H$17="القسط (الدفعة) الاول",B33=1),المدخلات!$J$17,IF(المدخلات!$H$17="شهري",المدخلات!$J$17,""))),"")</f>
        <v/>
      </c>
      <c r="K33" s="169" t="str">
        <f>IF(B33&lt;&gt;"",IF(AND(المدخلات!$H$18="سنوي",MOD(B33,12)=0),المدخلات!$J$18,IF(AND(المدخلات!$H$18="القسط (الدفعة) الاول",B33=1),المدخلات!$J$18,IF(المدخلات!$H$18="شهري",المدخلات!$J$18,""))),"")</f>
        <v/>
      </c>
      <c r="L33" s="169">
        <f>IF(B33&lt;&gt;"",IF(AND(المدخلات!$H$19="سنوي",MOD(B33,12)=0),المدخلات!$J$19,IF(AND(المدخلات!$H$19="القسط (الدفعة) الاول",B33=1),المدخلات!$J$19,IF(المدخلات!$H$19="شهري",المدخلات!$J$19,IF(AND(المدخلات!$H$19="End of the loan",B33=المدخلات!$E$22),المدخلات!$J$19,"")))),"")</f>
        <v>0</v>
      </c>
      <c r="M33" s="169">
        <f t="shared" si="0"/>
        <v>0</v>
      </c>
      <c r="N33" s="170">
        <f t="shared" si="1"/>
        <v>361.15410980775306</v>
      </c>
      <c r="R33" s="9">
        <f t="shared" si="6"/>
        <v>45777</v>
      </c>
      <c r="S33" s="5">
        <f t="shared" si="7"/>
        <v>361.15</v>
      </c>
      <c r="T33" s="122"/>
    </row>
    <row r="34" spans="2:20" x14ac:dyDescent="0.2">
      <c r="B34" s="167">
        <f t="shared" si="8"/>
        <v>17</v>
      </c>
      <c r="C34" s="168">
        <f t="shared" si="9"/>
        <v>45807</v>
      </c>
      <c r="D34" s="169">
        <f>IFERROR(IF(B34&lt;&gt;"",PPMT(المدخلات!$E$18/12,B34,$C$6,المدخلات!$E$17),"")," ")</f>
        <v>-321.22043400726619</v>
      </c>
      <c r="E34" s="169">
        <f>IFERROR(IPMT(المدخلات!$E$18/12,B34,$C$6,المدخلات!$E$17)," ")</f>
        <v>-39.933675800486853</v>
      </c>
      <c r="F34" s="169">
        <f t="shared" si="2"/>
        <v>-5346.092008824693</v>
      </c>
      <c r="G34" s="169">
        <f t="shared" si="3"/>
        <v>-793.52785790710857</v>
      </c>
      <c r="H34" s="169">
        <f t="shared" si="4"/>
        <v>-361.15410980775306</v>
      </c>
      <c r="I34" s="169">
        <f t="shared" si="5"/>
        <v>14653.907991175311</v>
      </c>
      <c r="J34" s="169" t="str">
        <f>IF(B34&lt;&gt;"",IF(AND(المدخلات!$H$17="سنوي",MOD(B34,12)=0),المدخلات!$J$17,IF(AND(المدخلات!$H$17="القسط (الدفعة) الاول",B34=1),المدخلات!$J$17,IF(المدخلات!$H$17="شهري",المدخلات!$J$17,""))),"")</f>
        <v/>
      </c>
      <c r="K34" s="169" t="str">
        <f>IF(B34&lt;&gt;"",IF(AND(المدخلات!$H$18="سنوي",MOD(B34,12)=0),المدخلات!$J$18,IF(AND(المدخلات!$H$18="القسط (الدفعة) الاول",B34=1),المدخلات!$J$18,IF(المدخلات!$H$18="شهري",المدخلات!$J$18,""))),"")</f>
        <v/>
      </c>
      <c r="L34" s="169">
        <f>IF(B34&lt;&gt;"",IF(AND(المدخلات!$H$19="سنوي",MOD(B34,12)=0),المدخلات!$J$19,IF(AND(المدخلات!$H$19="القسط (الدفعة) الاول",B34=1),المدخلات!$J$19,IF(المدخلات!$H$19="شهري",المدخلات!$J$19,IF(AND(المدخلات!$H$19="End of the loan",B34=المدخلات!$E$22),المدخلات!$J$19,"")))),"")</f>
        <v>0</v>
      </c>
      <c r="M34" s="169">
        <f t="shared" si="0"/>
        <v>0</v>
      </c>
      <c r="N34" s="170">
        <f t="shared" si="1"/>
        <v>361.15410980775306</v>
      </c>
      <c r="R34" s="9">
        <f t="shared" si="6"/>
        <v>45807</v>
      </c>
      <c r="S34" s="5">
        <f t="shared" si="7"/>
        <v>361.15</v>
      </c>
      <c r="T34" s="122"/>
    </row>
    <row r="35" spans="2:20" x14ac:dyDescent="0.2">
      <c r="B35" s="167">
        <f t="shared" si="8"/>
        <v>18</v>
      </c>
      <c r="C35" s="168">
        <f t="shared" si="9"/>
        <v>45838</v>
      </c>
      <c r="D35" s="169">
        <f>IFERROR(IF(B35&lt;&gt;"",PPMT(المدخلات!$E$18/12,B35,$C$6,المدخلات!$E$17),"")," ")</f>
        <v>-322.07702183128561</v>
      </c>
      <c r="E35" s="169">
        <f>IFERROR(IPMT(المدخلات!$E$18/12,B35,$C$6,المدخلات!$E$17)," ")</f>
        <v>-39.077087976467475</v>
      </c>
      <c r="F35" s="169">
        <f t="shared" si="2"/>
        <v>-5668.1690306559785</v>
      </c>
      <c r="G35" s="169">
        <f t="shared" si="3"/>
        <v>-832.60494588357608</v>
      </c>
      <c r="H35" s="169">
        <f t="shared" si="4"/>
        <v>-361.15410980775306</v>
      </c>
      <c r="I35" s="169">
        <f t="shared" si="5"/>
        <v>14331.830969344024</v>
      </c>
      <c r="J35" s="169" t="str">
        <f>IF(B35&lt;&gt;"",IF(AND(المدخلات!$H$17="سنوي",MOD(B35,12)=0),المدخلات!$J$17,IF(AND(المدخلات!$H$17="القسط (الدفعة) الاول",B35=1),المدخلات!$J$17,IF(المدخلات!$H$17="شهري",المدخلات!$J$17,""))),"")</f>
        <v/>
      </c>
      <c r="K35" s="169" t="str">
        <f>IF(B35&lt;&gt;"",IF(AND(المدخلات!$H$18="سنوي",MOD(B35,12)=0),المدخلات!$J$18,IF(AND(المدخلات!$H$18="القسط (الدفعة) الاول",B35=1),المدخلات!$J$18,IF(المدخلات!$H$18="شهري",المدخلات!$J$18,""))),"")</f>
        <v/>
      </c>
      <c r="L35" s="169">
        <f>IF(B35&lt;&gt;"",IF(AND(المدخلات!$H$19="سنوي",MOD(B35,12)=0),المدخلات!$J$19,IF(AND(المدخلات!$H$19="القسط (الدفعة) الاول",B35=1),المدخلات!$J$19,IF(المدخلات!$H$19="شهري",المدخلات!$J$19,IF(AND(المدخلات!$H$19="End of the loan",B35=المدخلات!$E$22),المدخلات!$J$19,"")))),"")</f>
        <v>0</v>
      </c>
      <c r="M35" s="169">
        <f t="shared" si="0"/>
        <v>0</v>
      </c>
      <c r="N35" s="170">
        <f t="shared" si="1"/>
        <v>361.15410980775306</v>
      </c>
      <c r="R35" s="9">
        <f t="shared" si="6"/>
        <v>45838</v>
      </c>
      <c r="S35" s="5">
        <f t="shared" si="7"/>
        <v>361.15</v>
      </c>
      <c r="T35" s="122"/>
    </row>
    <row r="36" spans="2:20" x14ac:dyDescent="0.2">
      <c r="B36" s="167">
        <f t="shared" si="8"/>
        <v>19</v>
      </c>
      <c r="C36" s="168">
        <f t="shared" si="9"/>
        <v>45868</v>
      </c>
      <c r="D36" s="169">
        <f>IFERROR(IF(B36&lt;&gt;"",PPMT(المدخلات!$E$18/12,B36,$C$6,المدخلات!$E$17),"")," ")</f>
        <v>-322.93589388950232</v>
      </c>
      <c r="E36" s="169">
        <f>IFERROR(IPMT(المدخلات!$E$18/12,B36,$C$6,المدخلات!$E$17)," ")</f>
        <v>-38.218215918250714</v>
      </c>
      <c r="F36" s="169">
        <f t="shared" si="2"/>
        <v>-5991.1049245454806</v>
      </c>
      <c r="G36" s="169">
        <f t="shared" si="3"/>
        <v>-870.82316180182681</v>
      </c>
      <c r="H36" s="169">
        <f t="shared" si="4"/>
        <v>-361.15410980775306</v>
      </c>
      <c r="I36" s="169">
        <f t="shared" si="5"/>
        <v>14008.895075454522</v>
      </c>
      <c r="J36" s="169" t="str">
        <f>IF(B36&lt;&gt;"",IF(AND(المدخلات!$H$17="سنوي",MOD(B36,12)=0),المدخلات!$J$17,IF(AND(المدخلات!$H$17="القسط (الدفعة) الاول",B36=1),المدخلات!$J$17,IF(المدخلات!$H$17="شهري",المدخلات!$J$17,""))),"")</f>
        <v/>
      </c>
      <c r="K36" s="169" t="str">
        <f>IF(B36&lt;&gt;"",IF(AND(المدخلات!$H$18="سنوي",MOD(B36,12)=0),المدخلات!$J$18,IF(AND(المدخلات!$H$18="القسط (الدفعة) الاول",B36=1),المدخلات!$J$18,IF(المدخلات!$H$18="شهري",المدخلات!$J$18,""))),"")</f>
        <v/>
      </c>
      <c r="L36" s="169">
        <f>IF(B36&lt;&gt;"",IF(AND(المدخلات!$H$19="سنوي",MOD(B36,12)=0),المدخلات!$J$19,IF(AND(المدخلات!$H$19="القسط (الدفعة) الاول",B36=1),المدخلات!$J$19,IF(المدخلات!$H$19="شهري",المدخلات!$J$19,IF(AND(المدخلات!$H$19="End of the loan",B36=المدخلات!$E$22),المدخلات!$J$19,"")))),"")</f>
        <v>0</v>
      </c>
      <c r="M36" s="169">
        <f t="shared" si="0"/>
        <v>0</v>
      </c>
      <c r="N36" s="170">
        <f t="shared" si="1"/>
        <v>361.15410980775306</v>
      </c>
      <c r="R36" s="9">
        <f t="shared" si="6"/>
        <v>45868</v>
      </c>
      <c r="S36" s="5">
        <f t="shared" si="7"/>
        <v>361.15</v>
      </c>
      <c r="T36" s="122"/>
    </row>
    <row r="37" spans="2:20" x14ac:dyDescent="0.2">
      <c r="B37" s="167">
        <f t="shared" si="8"/>
        <v>20</v>
      </c>
      <c r="C37" s="168">
        <f t="shared" si="9"/>
        <v>45899</v>
      </c>
      <c r="D37" s="169">
        <f>IFERROR(IF(B37&lt;&gt;"",PPMT(المدخلات!$E$18/12,B37,$C$6,المدخلات!$E$17),"")," ")</f>
        <v>-323.79705627320766</v>
      </c>
      <c r="E37" s="169">
        <f>IFERROR(IPMT(المدخلات!$E$18/12,B37,$C$6,المدخلات!$E$17)," ")</f>
        <v>-37.357053534545379</v>
      </c>
      <c r="F37" s="169">
        <f t="shared" si="2"/>
        <v>-6314.9019808186886</v>
      </c>
      <c r="G37" s="169">
        <f t="shared" si="3"/>
        <v>-908.18021533637216</v>
      </c>
      <c r="H37" s="169">
        <f t="shared" si="4"/>
        <v>-361.15410980775306</v>
      </c>
      <c r="I37" s="169">
        <f t="shared" si="5"/>
        <v>13685.098019181314</v>
      </c>
      <c r="J37" s="169" t="str">
        <f>IF(B37&lt;&gt;"",IF(AND(المدخلات!$H$17="سنوي",MOD(B37,12)=0),المدخلات!$J$17,IF(AND(المدخلات!$H$17="القسط (الدفعة) الاول",B37=1),المدخلات!$J$17,IF(المدخلات!$H$17="شهري",المدخلات!$J$17,""))),"")</f>
        <v/>
      </c>
      <c r="K37" s="169" t="str">
        <f>IF(B37&lt;&gt;"",IF(AND(المدخلات!$H$18="سنوي",MOD(B37,12)=0),المدخلات!$J$18,IF(AND(المدخلات!$H$18="القسط (الدفعة) الاول",B37=1),المدخلات!$J$18,IF(المدخلات!$H$18="شهري",المدخلات!$J$18,""))),"")</f>
        <v/>
      </c>
      <c r="L37" s="169">
        <f>IF(B37&lt;&gt;"",IF(AND(المدخلات!$H$19="سنوي",MOD(B37,12)=0),المدخلات!$J$19,IF(AND(المدخلات!$H$19="القسط (الدفعة) الاول",B37=1),المدخلات!$J$19,IF(المدخلات!$H$19="شهري",المدخلات!$J$19,IF(AND(المدخلات!$H$19="End of the loan",B37=المدخلات!$E$22),المدخلات!$J$19,"")))),"")</f>
        <v>0</v>
      </c>
      <c r="M37" s="169">
        <f t="shared" si="0"/>
        <v>0</v>
      </c>
      <c r="N37" s="170">
        <f t="shared" si="1"/>
        <v>361.15410980775306</v>
      </c>
      <c r="R37" s="9">
        <f t="shared" si="6"/>
        <v>45899</v>
      </c>
      <c r="S37" s="5">
        <f t="shared" si="7"/>
        <v>361.15</v>
      </c>
      <c r="T37" s="122"/>
    </row>
    <row r="38" spans="2:20" x14ac:dyDescent="0.2">
      <c r="B38" s="167">
        <f t="shared" si="8"/>
        <v>21</v>
      </c>
      <c r="C38" s="168">
        <f t="shared" si="9"/>
        <v>45930</v>
      </c>
      <c r="D38" s="169">
        <f>IFERROR(IF(B38&lt;&gt;"",PPMT(المدخلات!$E$18/12,B38,$C$6,المدخلات!$E$17),"")," ")</f>
        <v>-324.66051508993621</v>
      </c>
      <c r="E38" s="169">
        <f>IFERROR(IPMT(المدخلات!$E$18/12,B38,$C$6,المدخلات!$E$17)," ")</f>
        <v>-36.493594717816819</v>
      </c>
      <c r="F38" s="169">
        <f t="shared" si="2"/>
        <v>-6639.5624959086244</v>
      </c>
      <c r="G38" s="169">
        <f t="shared" si="3"/>
        <v>-944.67381005418895</v>
      </c>
      <c r="H38" s="169">
        <f t="shared" si="4"/>
        <v>-361.154109807753</v>
      </c>
      <c r="I38" s="169">
        <f t="shared" si="5"/>
        <v>13360.437504091378</v>
      </c>
      <c r="J38" s="169" t="str">
        <f>IF(B38&lt;&gt;"",IF(AND(المدخلات!$H$17="سنوي",MOD(B38,12)=0),المدخلات!$J$17,IF(AND(المدخلات!$H$17="القسط (الدفعة) الاول",B38=1),المدخلات!$J$17,IF(المدخلات!$H$17="شهري",المدخلات!$J$17,""))),"")</f>
        <v/>
      </c>
      <c r="K38" s="169" t="str">
        <f>IF(B38&lt;&gt;"",IF(AND(المدخلات!$H$18="سنوي",MOD(B38,12)=0),المدخلات!$J$18,IF(AND(المدخلات!$H$18="القسط (الدفعة) الاول",B38=1),المدخلات!$J$18,IF(المدخلات!$H$18="شهري",المدخلات!$J$18,""))),"")</f>
        <v/>
      </c>
      <c r="L38" s="169">
        <f>IF(B38&lt;&gt;"",IF(AND(المدخلات!$H$19="سنوي",MOD(B38,12)=0),المدخلات!$J$19,IF(AND(المدخلات!$H$19="القسط (الدفعة) الاول",B38=1),المدخلات!$J$19,IF(المدخلات!$H$19="شهري",المدخلات!$J$19,IF(AND(المدخلات!$H$19="End of the loan",B38=المدخلات!$E$22),المدخلات!$J$19,"")))),"")</f>
        <v>0</v>
      </c>
      <c r="M38" s="169">
        <f t="shared" si="0"/>
        <v>0</v>
      </c>
      <c r="N38" s="170">
        <f t="shared" si="1"/>
        <v>361.154109807753</v>
      </c>
      <c r="R38" s="9">
        <f t="shared" si="6"/>
        <v>45930</v>
      </c>
      <c r="S38" s="5">
        <f t="shared" si="7"/>
        <v>361.15</v>
      </c>
      <c r="T38" s="122"/>
    </row>
    <row r="39" spans="2:20" x14ac:dyDescent="0.2">
      <c r="B39" s="167">
        <f t="shared" si="8"/>
        <v>22</v>
      </c>
      <c r="C39" s="168">
        <f t="shared" si="9"/>
        <v>45960</v>
      </c>
      <c r="D39" s="169">
        <f>IFERROR(IF(B39&lt;&gt;"",PPMT(المدخلات!$E$18/12,B39,$C$6,المدخلات!$E$17),"")," ")</f>
        <v>-325.52627646350942</v>
      </c>
      <c r="E39" s="169">
        <f>IFERROR(IPMT(المدخلات!$E$18/12,B39,$C$6,المدخلات!$E$17)," ")</f>
        <v>-35.627833344243662</v>
      </c>
      <c r="F39" s="169">
        <f t="shared" si="2"/>
        <v>-6965.0887723721335</v>
      </c>
      <c r="G39" s="169">
        <f t="shared" si="3"/>
        <v>-980.30164339843259</v>
      </c>
      <c r="H39" s="169">
        <f t="shared" si="4"/>
        <v>-361.15410980775306</v>
      </c>
      <c r="I39" s="169">
        <f t="shared" si="5"/>
        <v>13034.911227627868</v>
      </c>
      <c r="J39" s="169" t="str">
        <f>IF(B39&lt;&gt;"",IF(AND(المدخلات!$H$17="سنوي",MOD(B39,12)=0),المدخلات!$J$17,IF(AND(المدخلات!$H$17="القسط (الدفعة) الاول",B39=1),المدخلات!$J$17,IF(المدخلات!$H$17="شهري",المدخلات!$J$17,""))),"")</f>
        <v/>
      </c>
      <c r="K39" s="169" t="str">
        <f>IF(B39&lt;&gt;"",IF(AND(المدخلات!$H$18="سنوي",MOD(B39,12)=0),المدخلات!$J$18,IF(AND(المدخلات!$H$18="القسط (الدفعة) الاول",B39=1),المدخلات!$J$18,IF(المدخلات!$H$18="شهري",المدخلات!$J$18,""))),"")</f>
        <v/>
      </c>
      <c r="L39" s="169">
        <f>IF(B39&lt;&gt;"",IF(AND(المدخلات!$H$19="سنوي",MOD(B39,12)=0),المدخلات!$J$19,IF(AND(المدخلات!$H$19="القسط (الدفعة) الاول",B39=1),المدخلات!$J$19,IF(المدخلات!$H$19="شهري",المدخلات!$J$19,IF(AND(المدخلات!$H$19="End of the loan",B39=المدخلات!$E$22),المدخلات!$J$19,"")))),"")</f>
        <v>0</v>
      </c>
      <c r="M39" s="169">
        <f t="shared" si="0"/>
        <v>0</v>
      </c>
      <c r="N39" s="170">
        <f t="shared" si="1"/>
        <v>361.15410980775306</v>
      </c>
      <c r="R39" s="9">
        <f t="shared" si="6"/>
        <v>45960</v>
      </c>
      <c r="S39" s="5">
        <f t="shared" si="7"/>
        <v>361.15</v>
      </c>
      <c r="T39" s="122"/>
    </row>
    <row r="40" spans="2:20" x14ac:dyDescent="0.2">
      <c r="B40" s="167">
        <f t="shared" si="8"/>
        <v>23</v>
      </c>
      <c r="C40" s="168">
        <f t="shared" si="9"/>
        <v>45991</v>
      </c>
      <c r="D40" s="169">
        <f>IFERROR(IF(B40&lt;&gt;"",PPMT(المدخلات!$E$18/12,B40,$C$6,المدخلات!$E$17),"")," ")</f>
        <v>-326.39434653407875</v>
      </c>
      <c r="E40" s="169">
        <f>IFERROR(IPMT(المدخلات!$E$18/12,B40,$C$6,المدخلات!$E$17)," ")</f>
        <v>-34.759763273674302</v>
      </c>
      <c r="F40" s="169">
        <f t="shared" si="2"/>
        <v>-7291.4831189062124</v>
      </c>
      <c r="G40" s="169">
        <f t="shared" si="3"/>
        <v>-1015.0614066721068</v>
      </c>
      <c r="H40" s="169">
        <f t="shared" si="4"/>
        <v>-361.15410980775306</v>
      </c>
      <c r="I40" s="169">
        <f t="shared" si="5"/>
        <v>12708.51688109379</v>
      </c>
      <c r="J40" s="169" t="str">
        <f>IF(B40&lt;&gt;"",IF(AND(المدخلات!$H$17="سنوي",MOD(B40,12)=0),المدخلات!$J$17,IF(AND(المدخلات!$H$17="القسط (الدفعة) الاول",B40=1),المدخلات!$J$17,IF(المدخلات!$H$17="شهري",المدخلات!$J$17,""))),"")</f>
        <v/>
      </c>
      <c r="K40" s="169" t="str">
        <f>IF(B40&lt;&gt;"",IF(AND(المدخلات!$H$18="سنوي",MOD(B40,12)=0),المدخلات!$J$18,IF(AND(المدخلات!$H$18="القسط (الدفعة) الاول",B40=1),المدخلات!$J$18,IF(المدخلات!$H$18="شهري",المدخلات!$J$18,""))),"")</f>
        <v/>
      </c>
      <c r="L40" s="169">
        <f>IF(B40&lt;&gt;"",IF(AND(المدخلات!$H$19="سنوي",MOD(B40,12)=0),المدخلات!$J$19,IF(AND(المدخلات!$H$19="القسط (الدفعة) الاول",B40=1),المدخلات!$J$19,IF(المدخلات!$H$19="شهري",المدخلات!$J$19,IF(AND(المدخلات!$H$19="End of the loan",B40=المدخلات!$E$22),المدخلات!$J$19,"")))),"")</f>
        <v>0</v>
      </c>
      <c r="M40" s="169">
        <f t="shared" si="0"/>
        <v>0</v>
      </c>
      <c r="N40" s="170">
        <f t="shared" si="1"/>
        <v>361.15410980775306</v>
      </c>
      <c r="R40" s="9">
        <f t="shared" si="6"/>
        <v>45991</v>
      </c>
      <c r="S40" s="5">
        <f t="shared" si="7"/>
        <v>361.15</v>
      </c>
      <c r="T40" s="122"/>
    </row>
    <row r="41" spans="2:20" x14ac:dyDescent="0.2">
      <c r="B41" s="167">
        <f t="shared" si="8"/>
        <v>24</v>
      </c>
      <c r="C41" s="168">
        <f t="shared" si="9"/>
        <v>46021</v>
      </c>
      <c r="D41" s="169">
        <f>IFERROR(IF(B41&lt;&gt;"",PPMT(المدخلات!$E$18/12,B41,$C$6,المدخلات!$E$17),"")," ")</f>
        <v>-327.26473145816965</v>
      </c>
      <c r="E41" s="169">
        <f>IFERROR(IPMT(المدخلات!$E$18/12,B41,$C$6,المدخلات!$E$17)," ")</f>
        <v>-33.889378349583417</v>
      </c>
      <c r="F41" s="169">
        <f t="shared" si="2"/>
        <v>-7618.7478503643824</v>
      </c>
      <c r="G41" s="169">
        <f t="shared" si="3"/>
        <v>-1048.9507850216903</v>
      </c>
      <c r="H41" s="169">
        <f t="shared" si="4"/>
        <v>-361.15410980775306</v>
      </c>
      <c r="I41" s="169">
        <f t="shared" si="5"/>
        <v>12381.25214963562</v>
      </c>
      <c r="J41" s="169" t="str">
        <f>IF(B41&lt;&gt;"",IF(AND(المدخلات!$H$17="سنوي",MOD(B41,12)=0),المدخلات!$J$17,IF(AND(المدخلات!$H$17="القسط (الدفعة) الاول",B41=1),المدخلات!$J$17,IF(المدخلات!$H$17="شهري",المدخلات!$J$17,""))),"")</f>
        <v/>
      </c>
      <c r="K41" s="169">
        <f>IF(B41&lt;&gt;"",IF(AND(المدخلات!$H$18="سنوي",MOD(B41,12)=0),المدخلات!$J$18,IF(AND(المدخلات!$H$18="القسط (الدفعة) الاول",B41=1),المدخلات!$J$18,IF(المدخلات!$H$18="شهري",المدخلات!$J$18,""))),"")</f>
        <v>0</v>
      </c>
      <c r="L41" s="169">
        <f>IF(B41&lt;&gt;"",IF(AND(المدخلات!$H$19="سنوي",MOD(B41,12)=0),المدخلات!$J$19,IF(AND(المدخلات!$H$19="القسط (الدفعة) الاول",B41=1),المدخلات!$J$19,IF(المدخلات!$H$19="شهري",المدخلات!$J$19,IF(AND(المدخلات!$H$19="End of the loan",B41=المدخلات!$E$22),المدخلات!$J$19,"")))),"")</f>
        <v>0</v>
      </c>
      <c r="M41" s="169">
        <f t="shared" si="0"/>
        <v>0</v>
      </c>
      <c r="N41" s="170">
        <f t="shared" si="1"/>
        <v>361.15410980775306</v>
      </c>
      <c r="R41" s="9">
        <f t="shared" si="6"/>
        <v>46021</v>
      </c>
      <c r="S41" s="5">
        <f t="shared" si="7"/>
        <v>361.15</v>
      </c>
      <c r="T41" s="122"/>
    </row>
    <row r="42" spans="2:20" x14ac:dyDescent="0.2">
      <c r="B42" s="167">
        <f t="shared" si="8"/>
        <v>25</v>
      </c>
      <c r="C42" s="168">
        <f t="shared" si="9"/>
        <v>46052</v>
      </c>
      <c r="D42" s="169">
        <f>IFERROR(IF(B42&lt;&gt;"",PPMT(المدخلات!$E$18/12,B42,$C$6,المدخلات!$E$17),"")," ")</f>
        <v>-328.13743740872474</v>
      </c>
      <c r="E42" s="169">
        <f>IFERROR(IPMT(المدخلات!$E$18/12,B42,$C$6,المدخلات!$E$17)," ")</f>
        <v>-33.016672399028302</v>
      </c>
      <c r="F42" s="169">
        <f t="shared" si="2"/>
        <v>-7946.8852877731069</v>
      </c>
      <c r="G42" s="169">
        <f t="shared" si="3"/>
        <v>-1081.9674574207186</v>
      </c>
      <c r="H42" s="169">
        <f t="shared" si="4"/>
        <v>-361.15410980775306</v>
      </c>
      <c r="I42" s="169">
        <f t="shared" si="5"/>
        <v>12053.114712226896</v>
      </c>
      <c r="J42" s="169" t="str">
        <f>IF(B42&lt;&gt;"",IF(AND(المدخلات!$H$17="سنوي",MOD(B42,12)=0),المدخلات!$J$17,IF(AND(المدخلات!$H$17="القسط (الدفعة) الاول",B42=1),المدخلات!$J$17,IF(المدخلات!$H$17="شهري",المدخلات!$J$17,""))),"")</f>
        <v/>
      </c>
      <c r="K42" s="169" t="str">
        <f>IF(B42&lt;&gt;"",IF(AND(المدخلات!$H$18="سنوي",MOD(B42,12)=0),المدخلات!$J$18,IF(AND(المدخلات!$H$18="القسط (الدفعة) الاول",B42=1),المدخلات!$J$18,IF(المدخلات!$H$18="شهري",المدخلات!$J$18,""))),"")</f>
        <v/>
      </c>
      <c r="L42" s="169">
        <f>IF(B42&lt;&gt;"",IF(AND(المدخلات!$H$19="سنوي",MOD(B42,12)=0),المدخلات!$J$19,IF(AND(المدخلات!$H$19="القسط (الدفعة) الاول",B42=1),المدخلات!$J$19,IF(المدخلات!$H$19="شهري",المدخلات!$J$19,IF(AND(المدخلات!$H$19="End of the loan",B42=المدخلات!$E$22),المدخلات!$J$19,"")))),"")</f>
        <v>0</v>
      </c>
      <c r="M42" s="169">
        <f t="shared" si="0"/>
        <v>0</v>
      </c>
      <c r="N42" s="170">
        <f t="shared" si="1"/>
        <v>361.15410980775306</v>
      </c>
      <c r="R42" s="9">
        <f t="shared" si="6"/>
        <v>46052</v>
      </c>
      <c r="S42" s="5">
        <f t="shared" si="7"/>
        <v>361.15</v>
      </c>
    </row>
    <row r="43" spans="2:20" x14ac:dyDescent="0.2">
      <c r="B43" s="167">
        <f t="shared" si="8"/>
        <v>26</v>
      </c>
      <c r="C43" s="168">
        <f t="shared" si="9"/>
        <v>46081</v>
      </c>
      <c r="D43" s="169">
        <f>IFERROR(IF(B43&lt;&gt;"",PPMT(المدخلات!$E$18/12,B43,$C$6,المدخلات!$E$17),"")," ")</f>
        <v>-329.01247057514803</v>
      </c>
      <c r="E43" s="169">
        <f>IFERROR(IPMT(المدخلات!$E$18/12,B43,$C$6,المدخلات!$E$17)," ")</f>
        <v>-32.141639232605037</v>
      </c>
      <c r="F43" s="169">
        <f t="shared" si="2"/>
        <v>-8275.8977583482556</v>
      </c>
      <c r="G43" s="169">
        <f t="shared" si="3"/>
        <v>-1114.1090966533236</v>
      </c>
      <c r="H43" s="169">
        <f t="shared" si="4"/>
        <v>-361.15410980775306</v>
      </c>
      <c r="I43" s="169">
        <f t="shared" si="5"/>
        <v>11724.102241651748</v>
      </c>
      <c r="J43" s="169" t="str">
        <f>IF(B43&lt;&gt;"",IF(AND(المدخلات!$H$17="سنوي",MOD(B43,12)=0),المدخلات!$J$17,IF(AND(المدخلات!$H$17="القسط (الدفعة) الاول",B43=1),المدخلات!$J$17,IF(المدخلات!$H$17="شهري",المدخلات!$J$17,""))),"")</f>
        <v/>
      </c>
      <c r="K43" s="169" t="str">
        <f>IF(B43&lt;&gt;"",IF(AND(المدخلات!$H$18="سنوي",MOD(B43,12)=0),المدخلات!$J$18,IF(AND(المدخلات!$H$18="القسط (الدفعة) الاول",B43=1),المدخلات!$J$18,IF(المدخلات!$H$18="شهري",المدخلات!$J$18,""))),"")</f>
        <v/>
      </c>
      <c r="L43" s="169">
        <f>IF(B43&lt;&gt;"",IF(AND(المدخلات!$H$19="سنوي",MOD(B43,12)=0),المدخلات!$J$19,IF(AND(المدخلات!$H$19="القسط (الدفعة) الاول",B43=1),المدخلات!$J$19,IF(المدخلات!$H$19="شهري",المدخلات!$J$19,IF(AND(المدخلات!$H$19="End of the loan",B43=المدخلات!$E$22),المدخلات!$J$19,"")))),"")</f>
        <v>0</v>
      </c>
      <c r="M43" s="169">
        <f t="shared" si="0"/>
        <v>0</v>
      </c>
      <c r="N43" s="170">
        <f t="shared" si="1"/>
        <v>361.15410980775306</v>
      </c>
      <c r="R43" s="9">
        <f t="shared" si="6"/>
        <v>46081</v>
      </c>
      <c r="S43" s="5">
        <f t="shared" si="7"/>
        <v>361.15</v>
      </c>
    </row>
    <row r="44" spans="2:20" x14ac:dyDescent="0.2">
      <c r="B44" s="167">
        <f t="shared" si="8"/>
        <v>27</v>
      </c>
      <c r="C44" s="168">
        <f t="shared" si="9"/>
        <v>46111</v>
      </c>
      <c r="D44" s="169">
        <f>IFERROR(IF(B44&lt;&gt;"",PPMT(المدخلات!$E$18/12,B44,$C$6,المدخلات!$E$17),"")," ")</f>
        <v>-329.88983716334837</v>
      </c>
      <c r="E44" s="169">
        <f>IFERROR(IPMT(المدخلات!$E$18/12,B44,$C$6,المدخلات!$E$17)," ")</f>
        <v>-31.264272644404642</v>
      </c>
      <c r="F44" s="169">
        <f t="shared" si="2"/>
        <v>-8605.7875955116033</v>
      </c>
      <c r="G44" s="169">
        <f t="shared" si="3"/>
        <v>-1145.3733692977282</v>
      </c>
      <c r="H44" s="169">
        <f t="shared" si="4"/>
        <v>-361.154109807753</v>
      </c>
      <c r="I44" s="169">
        <f t="shared" si="5"/>
        <v>11394.2124044884</v>
      </c>
      <c r="J44" s="169" t="str">
        <f>IF(B44&lt;&gt;"",IF(AND(المدخلات!$H$17="سنوي",MOD(B44,12)=0),المدخلات!$J$17,IF(AND(المدخلات!$H$17="القسط (الدفعة) الاول",B44=1),المدخلات!$J$17,IF(المدخلات!$H$17="شهري",المدخلات!$J$17,""))),"")</f>
        <v/>
      </c>
      <c r="K44" s="169" t="str">
        <f>IF(B44&lt;&gt;"",IF(AND(المدخلات!$H$18="سنوي",MOD(B44,12)=0),المدخلات!$J$18,IF(AND(المدخلات!$H$18="القسط (الدفعة) الاول",B44=1),المدخلات!$J$18,IF(المدخلات!$H$18="شهري",المدخلات!$J$18,""))),"")</f>
        <v/>
      </c>
      <c r="L44" s="169">
        <f>IF(B44&lt;&gt;"",IF(AND(المدخلات!$H$19="سنوي",MOD(B44,12)=0),المدخلات!$J$19,IF(AND(المدخلات!$H$19="القسط (الدفعة) الاول",B44=1),المدخلات!$J$19,IF(المدخلات!$H$19="شهري",المدخلات!$J$19,IF(AND(المدخلات!$H$19="End of the loan",B44=المدخلات!$E$22),المدخلات!$J$19,"")))),"")</f>
        <v>0</v>
      </c>
      <c r="M44" s="169">
        <f t="shared" si="0"/>
        <v>0</v>
      </c>
      <c r="N44" s="170">
        <f t="shared" si="1"/>
        <v>361.154109807753</v>
      </c>
      <c r="Q44" s="71"/>
      <c r="R44" s="9">
        <f t="shared" si="6"/>
        <v>46111</v>
      </c>
      <c r="S44" s="5">
        <f t="shared" si="7"/>
        <v>361.15</v>
      </c>
    </row>
    <row r="45" spans="2:20" x14ac:dyDescent="0.2">
      <c r="B45" s="167">
        <f t="shared" si="8"/>
        <v>28</v>
      </c>
      <c r="C45" s="168">
        <f t="shared" si="9"/>
        <v>46142</v>
      </c>
      <c r="D45" s="169">
        <f>IFERROR(IF(B45&lt;&gt;"",PPMT(المدخلات!$E$18/12,B45,$C$6,المدخلات!$E$17),"")," ")</f>
        <v>-330.76954339578401</v>
      </c>
      <c r="E45" s="169">
        <f>IFERROR(IPMT(المدخلات!$E$18/12,B45,$C$6,المدخلات!$E$17)," ")</f>
        <v>-30.38456641196905</v>
      </c>
      <c r="F45" s="169">
        <f t="shared" si="2"/>
        <v>-8936.5571389073866</v>
      </c>
      <c r="G45" s="169">
        <f t="shared" si="3"/>
        <v>-1175.7579357096972</v>
      </c>
      <c r="H45" s="169">
        <f t="shared" si="4"/>
        <v>-361.15410980775306</v>
      </c>
      <c r="I45" s="169">
        <f t="shared" si="5"/>
        <v>11063.442861092617</v>
      </c>
      <c r="J45" s="169" t="str">
        <f>IF(B45&lt;&gt;"",IF(AND(المدخلات!$H$17="سنوي",MOD(B45,12)=0),المدخلات!$J$17,IF(AND(المدخلات!$H$17="القسط (الدفعة) الاول",B45=1),المدخلات!$J$17,IF(المدخلات!$H$17="شهري",المدخلات!$J$17,""))),"")</f>
        <v/>
      </c>
      <c r="K45" s="169" t="str">
        <f>IF(B45&lt;&gt;"",IF(AND(المدخلات!$H$18="سنوي",MOD(B45,12)=0),المدخلات!$J$18,IF(AND(المدخلات!$H$18="القسط (الدفعة) الاول",B45=1),المدخلات!$J$18,IF(المدخلات!$H$18="شهري",المدخلات!$J$18,""))),"")</f>
        <v/>
      </c>
      <c r="L45" s="169">
        <f>IF(B45&lt;&gt;"",IF(AND(المدخلات!$H$19="سنوي",MOD(B45,12)=0),المدخلات!$J$19,IF(AND(المدخلات!$H$19="القسط (الدفعة) الاول",B45=1),المدخلات!$J$19,IF(المدخلات!$H$19="شهري",المدخلات!$J$19,IF(AND(المدخلات!$H$19="End of the loan",B45=المدخلات!$E$22),المدخلات!$J$19,"")))),"")</f>
        <v>0</v>
      </c>
      <c r="M45" s="169">
        <f t="shared" si="0"/>
        <v>0</v>
      </c>
      <c r="N45" s="170">
        <f t="shared" si="1"/>
        <v>361.15410980775306</v>
      </c>
      <c r="R45" s="9">
        <f t="shared" si="6"/>
        <v>46142</v>
      </c>
      <c r="S45" s="5">
        <f t="shared" si="7"/>
        <v>361.15</v>
      </c>
    </row>
    <row r="46" spans="2:20" x14ac:dyDescent="0.2">
      <c r="B46" s="167">
        <f t="shared" si="8"/>
        <v>29</v>
      </c>
      <c r="C46" s="168">
        <f t="shared" si="9"/>
        <v>46172</v>
      </c>
      <c r="D46" s="169">
        <f>IFERROR(IF(B46&lt;&gt;"",PPMT(المدخلات!$E$18/12,B46,$C$6,المدخلات!$E$17),"")," ")</f>
        <v>-331.65159551150612</v>
      </c>
      <c r="E46" s="169">
        <f>IFERROR(IPMT(المدخلات!$E$18/12,B46,$C$6,المدخلات!$E$17)," ")</f>
        <v>-29.502514296246964</v>
      </c>
      <c r="F46" s="169">
        <f t="shared" si="2"/>
        <v>-9268.2087344188931</v>
      </c>
      <c r="G46" s="169">
        <f t="shared" si="3"/>
        <v>-1205.2604500059442</v>
      </c>
      <c r="H46" s="169">
        <f t="shared" si="4"/>
        <v>-361.15410980775306</v>
      </c>
      <c r="I46" s="169">
        <f t="shared" si="5"/>
        <v>10731.791265581111</v>
      </c>
      <c r="J46" s="169" t="str">
        <f>IF(B46&lt;&gt;"",IF(AND(المدخلات!$H$17="سنوي",MOD(B46,12)=0),المدخلات!$J$17,IF(AND(المدخلات!$H$17="القسط (الدفعة) الاول",B46=1),المدخلات!$J$17,IF(المدخلات!$H$17="شهري",المدخلات!$J$17,""))),"")</f>
        <v/>
      </c>
      <c r="K46" s="169" t="str">
        <f>IF(B46&lt;&gt;"",IF(AND(المدخلات!$H$18="سنوي",MOD(B46,12)=0),المدخلات!$J$18,IF(AND(المدخلات!$H$18="القسط (الدفعة) الاول",B46=1),المدخلات!$J$18,IF(المدخلات!$H$18="شهري",المدخلات!$J$18,""))),"")</f>
        <v/>
      </c>
      <c r="L46" s="169">
        <f>IF(B46&lt;&gt;"",IF(AND(المدخلات!$H$19="سنوي",MOD(B46,12)=0),المدخلات!$J$19,IF(AND(المدخلات!$H$19="القسط (الدفعة) الاول",B46=1),المدخلات!$J$19,IF(المدخلات!$H$19="شهري",المدخلات!$J$19,IF(AND(المدخلات!$H$19="End of the loan",B46=المدخلات!$E$22),المدخلات!$J$19,"")))),"")</f>
        <v>0</v>
      </c>
      <c r="M46" s="169">
        <f t="shared" si="0"/>
        <v>0</v>
      </c>
      <c r="N46" s="170">
        <f t="shared" si="1"/>
        <v>361.15410980775306</v>
      </c>
      <c r="R46" s="9">
        <f t="shared" si="6"/>
        <v>46172</v>
      </c>
      <c r="S46" s="5">
        <f t="shared" si="7"/>
        <v>361.15</v>
      </c>
    </row>
    <row r="47" spans="2:20" x14ac:dyDescent="0.2">
      <c r="B47" s="167">
        <f t="shared" si="8"/>
        <v>30</v>
      </c>
      <c r="C47" s="168">
        <f t="shared" si="9"/>
        <v>46203</v>
      </c>
      <c r="D47" s="169">
        <f>IFERROR(IF(B47&lt;&gt;"",PPMT(المدخلات!$E$18/12,B47,$C$6,المدخلات!$E$17),"")," ")</f>
        <v>-332.53599976620347</v>
      </c>
      <c r="E47" s="169">
        <f>IFERROR(IPMT(المدخلات!$E$18/12,B47,$C$6,المدخلات!$E$17)," ")</f>
        <v>-28.618110041549606</v>
      </c>
      <c r="F47" s="169">
        <f t="shared" si="2"/>
        <v>-9600.7447341850966</v>
      </c>
      <c r="G47" s="169">
        <f t="shared" si="3"/>
        <v>-1233.8785600474939</v>
      </c>
      <c r="H47" s="169">
        <f t="shared" si="4"/>
        <v>-361.15410980775306</v>
      </c>
      <c r="I47" s="169">
        <f t="shared" si="5"/>
        <v>10399.255265814907</v>
      </c>
      <c r="J47" s="169" t="str">
        <f>IF(B47&lt;&gt;"",IF(AND(المدخلات!$H$17="سنوي",MOD(B47,12)=0),المدخلات!$J$17,IF(AND(المدخلات!$H$17="القسط (الدفعة) الاول",B47=1),المدخلات!$J$17,IF(المدخلات!$H$17="شهري",المدخلات!$J$17,""))),"")</f>
        <v/>
      </c>
      <c r="K47" s="169" t="str">
        <f>IF(B47&lt;&gt;"",IF(AND(المدخلات!$H$18="سنوي",MOD(B47,12)=0),المدخلات!$J$18,IF(AND(المدخلات!$H$18="القسط (الدفعة) الاول",B47=1),المدخلات!$J$18,IF(المدخلات!$H$18="شهري",المدخلات!$J$18,""))),"")</f>
        <v/>
      </c>
      <c r="L47" s="169">
        <f>IF(B47&lt;&gt;"",IF(AND(المدخلات!$H$19="سنوي",MOD(B47,12)=0),المدخلات!$J$19,IF(AND(المدخلات!$H$19="القسط (الدفعة) الاول",B47=1),المدخلات!$J$19,IF(المدخلات!$H$19="شهري",المدخلات!$J$19,IF(AND(المدخلات!$H$19="End of the loan",B47=المدخلات!$E$22),المدخلات!$J$19,"")))),"")</f>
        <v>0</v>
      </c>
      <c r="M47" s="169">
        <f t="shared" si="0"/>
        <v>0</v>
      </c>
      <c r="N47" s="170">
        <f t="shared" si="1"/>
        <v>361.15410980775306</v>
      </c>
      <c r="R47" s="9">
        <f t="shared" si="6"/>
        <v>46203</v>
      </c>
      <c r="S47" s="5">
        <f t="shared" si="7"/>
        <v>361.15</v>
      </c>
    </row>
    <row r="48" spans="2:20" x14ac:dyDescent="0.2">
      <c r="B48" s="167">
        <f t="shared" si="8"/>
        <v>31</v>
      </c>
      <c r="C48" s="168">
        <f t="shared" si="9"/>
        <v>46233</v>
      </c>
      <c r="D48" s="169">
        <f>IFERROR(IF(B48&lt;&gt;"",PPMT(المدخلات!$E$18/12,B48,$C$6,المدخلات!$E$17),"")," ")</f>
        <v>-333.42276243224671</v>
      </c>
      <c r="E48" s="169">
        <f>IFERROR(IPMT(المدخلات!$E$18/12,B48,$C$6,المدخلات!$E$17)," ")</f>
        <v>-27.731347375506399</v>
      </c>
      <c r="F48" s="169">
        <f t="shared" si="2"/>
        <v>-9934.1674966173432</v>
      </c>
      <c r="G48" s="169">
        <f t="shared" si="3"/>
        <v>-1261.6099074230003</v>
      </c>
      <c r="H48" s="169">
        <f t="shared" si="4"/>
        <v>-361.15410980775312</v>
      </c>
      <c r="I48" s="169">
        <f t="shared" si="5"/>
        <v>10065.83250338266</v>
      </c>
      <c r="J48" s="169" t="str">
        <f>IF(B48&lt;&gt;"",IF(AND(المدخلات!$H$17="سنوي",MOD(B48,12)=0),المدخلات!$J$17,IF(AND(المدخلات!$H$17="القسط (الدفعة) الاول",B48=1),المدخلات!$J$17,IF(المدخلات!$H$17="شهري",المدخلات!$J$17,""))),"")</f>
        <v/>
      </c>
      <c r="K48" s="169" t="str">
        <f>IF(B48&lt;&gt;"",IF(AND(المدخلات!$H$18="سنوي",MOD(B48,12)=0),المدخلات!$J$18,IF(AND(المدخلات!$H$18="القسط (الدفعة) الاول",B48=1),المدخلات!$J$18,IF(المدخلات!$H$18="شهري",المدخلات!$J$18,""))),"")</f>
        <v/>
      </c>
      <c r="L48" s="169">
        <f>IF(B48&lt;&gt;"",IF(AND(المدخلات!$H$19="سنوي",MOD(B48,12)=0),المدخلات!$J$19,IF(AND(المدخلات!$H$19="القسط (الدفعة) الاول",B48=1),المدخلات!$J$19,IF(المدخلات!$H$19="شهري",المدخلات!$J$19,IF(AND(المدخلات!$H$19="End of the loan",B48=المدخلات!$E$22),المدخلات!$J$19,"")))),"")</f>
        <v>0</v>
      </c>
      <c r="M48" s="169">
        <f t="shared" si="0"/>
        <v>0</v>
      </c>
      <c r="N48" s="170">
        <f t="shared" si="1"/>
        <v>361.15410980775312</v>
      </c>
      <c r="R48" s="9">
        <f t="shared" si="6"/>
        <v>46233</v>
      </c>
      <c r="S48" s="5">
        <f t="shared" si="7"/>
        <v>361.15</v>
      </c>
    </row>
    <row r="49" spans="2:19" x14ac:dyDescent="0.2">
      <c r="B49" s="167">
        <f t="shared" si="8"/>
        <v>32</v>
      </c>
      <c r="C49" s="168">
        <f t="shared" si="9"/>
        <v>46264</v>
      </c>
      <c r="D49" s="169">
        <f>IFERROR(IF(B49&lt;&gt;"",PPMT(المدخلات!$E$18/12,B49,$C$6,المدخلات!$E$17),"")," ")</f>
        <v>-334.31188979873264</v>
      </c>
      <c r="E49" s="169">
        <f>IFERROR(IPMT(المدخلات!$E$18/12,B49,$C$6,المدخلات!$E$17)," ")</f>
        <v>-26.842220009020412</v>
      </c>
      <c r="F49" s="169">
        <f t="shared" si="2"/>
        <v>-10268.479386416077</v>
      </c>
      <c r="G49" s="169">
        <f t="shared" si="3"/>
        <v>-1288.4521274320207</v>
      </c>
      <c r="H49" s="169">
        <f t="shared" si="4"/>
        <v>-361.15410980775306</v>
      </c>
      <c r="I49" s="169">
        <f t="shared" si="5"/>
        <v>9731.5206135839271</v>
      </c>
      <c r="J49" s="169" t="str">
        <f>IF(B49&lt;&gt;"",IF(AND(المدخلات!$H$17="سنوي",MOD(B49,12)=0),المدخلات!$J$17,IF(AND(المدخلات!$H$17="القسط (الدفعة) الاول",B49=1),المدخلات!$J$17,IF(المدخلات!$H$17="شهري",المدخلات!$J$17,""))),"")</f>
        <v/>
      </c>
      <c r="K49" s="169" t="str">
        <f>IF(B49&lt;&gt;"",IF(AND(المدخلات!$H$18="سنوي",MOD(B49,12)=0),المدخلات!$J$18,IF(AND(المدخلات!$H$18="القسط (الدفعة) الاول",B49=1),المدخلات!$J$18,IF(المدخلات!$H$18="شهري",المدخلات!$J$18,""))),"")</f>
        <v/>
      </c>
      <c r="L49" s="169">
        <f>IF(B49&lt;&gt;"",IF(AND(المدخلات!$H$19="سنوي",MOD(B49,12)=0),المدخلات!$J$19,IF(AND(المدخلات!$H$19="القسط (الدفعة) الاول",B49=1),المدخلات!$J$19,IF(المدخلات!$H$19="شهري",المدخلات!$J$19,IF(AND(المدخلات!$H$19="End of the loan",B49=المدخلات!$E$22),المدخلات!$J$19,"")))),"")</f>
        <v>0</v>
      </c>
      <c r="M49" s="169">
        <f t="shared" ref="M49:M77" si="10">IF(B49&lt;&gt;"",SUM(J49:L49),"")</f>
        <v>0</v>
      </c>
      <c r="N49" s="170">
        <f t="shared" si="1"/>
        <v>361.15410980775306</v>
      </c>
      <c r="R49" s="9">
        <f t="shared" si="6"/>
        <v>46264</v>
      </c>
      <c r="S49" s="5">
        <f t="shared" si="7"/>
        <v>361.15</v>
      </c>
    </row>
    <row r="50" spans="2:19" x14ac:dyDescent="0.2">
      <c r="B50" s="167">
        <f t="shared" si="8"/>
        <v>33</v>
      </c>
      <c r="C50" s="168">
        <f t="shared" si="9"/>
        <v>46295</v>
      </c>
      <c r="D50" s="169">
        <f>IFERROR(IF(B50&lt;&gt;"",PPMT(المدخلات!$E$18/12,B50,$C$6,المدخلات!$E$17),"")," ")</f>
        <v>-335.2033881715293</v>
      </c>
      <c r="E50" s="169">
        <f>IFERROR(IPMT(المدخلات!$E$18/12,B50,$C$6,المدخلات!$E$17)," ")</f>
        <v>-25.950721636223786</v>
      </c>
      <c r="F50" s="169">
        <f t="shared" si="2"/>
        <v>-10603.682774587605</v>
      </c>
      <c r="G50" s="169">
        <f t="shared" si="3"/>
        <v>-1314.4028490682444</v>
      </c>
      <c r="H50" s="169">
        <f t="shared" si="4"/>
        <v>-361.15410980775306</v>
      </c>
      <c r="I50" s="169">
        <f t="shared" si="5"/>
        <v>9396.3172254123983</v>
      </c>
      <c r="J50" s="169" t="str">
        <f>IF(B50&lt;&gt;"",IF(AND(المدخلات!$H$17="سنوي",MOD(B50,12)=0),المدخلات!$J$17,IF(AND(المدخلات!$H$17="القسط (الدفعة) الاول",B50=1),المدخلات!$J$17,IF(المدخلات!$H$17="شهري",المدخلات!$J$17,""))),"")</f>
        <v/>
      </c>
      <c r="K50" s="169" t="str">
        <f>IF(B50&lt;&gt;"",IF(AND(المدخلات!$H$18="سنوي",MOD(B50,12)=0),المدخلات!$J$18,IF(AND(المدخلات!$H$18="القسط (الدفعة) الاول",B50=1),المدخلات!$J$18,IF(المدخلات!$H$18="شهري",المدخلات!$J$18,""))),"")</f>
        <v/>
      </c>
      <c r="L50" s="169">
        <f>IF(B50&lt;&gt;"",IF(AND(المدخلات!$H$19="سنوي",MOD(B50,12)=0),المدخلات!$J$19,IF(AND(المدخلات!$H$19="القسط (الدفعة) الاول",B50=1),المدخلات!$J$19,IF(المدخلات!$H$19="شهري",المدخلات!$J$19,IF(AND(المدخلات!$H$19="End of the loan",B50=المدخلات!$E$22),المدخلات!$J$19,"")))),"")</f>
        <v>0</v>
      </c>
      <c r="M50" s="169">
        <f t="shared" si="10"/>
        <v>0</v>
      </c>
      <c r="N50" s="170">
        <f t="shared" si="1"/>
        <v>361.15410980775306</v>
      </c>
      <c r="R50" s="9">
        <f t="shared" si="6"/>
        <v>46295</v>
      </c>
      <c r="S50" s="5">
        <f t="shared" si="7"/>
        <v>361.15</v>
      </c>
    </row>
    <row r="51" spans="2:19" x14ac:dyDescent="0.2">
      <c r="B51" s="167">
        <f t="shared" si="8"/>
        <v>34</v>
      </c>
      <c r="C51" s="168">
        <f t="shared" si="9"/>
        <v>46325</v>
      </c>
      <c r="D51" s="169">
        <f>IFERROR(IF(B51&lt;&gt;"",PPMT(المدخلات!$E$18/12,B51,$C$6,المدخلات!$E$17),"")," ")</f>
        <v>-336.09726387332</v>
      </c>
      <c r="E51" s="169">
        <f>IFERROR(IPMT(المدخلات!$E$18/12,B51,$C$6,المدخلات!$E$17)," ")</f>
        <v>-25.056845934433046</v>
      </c>
      <c r="F51" s="169">
        <f t="shared" ref="F51:F77" si="11">IF(B51&lt;&gt;"",F50+D51,"")</f>
        <v>-10939.780038460925</v>
      </c>
      <c r="G51" s="169">
        <f t="shared" ref="G51:G77" si="12">IF(B51&lt;&gt;"",G50+E51,"")</f>
        <v>-1339.4596950026776</v>
      </c>
      <c r="H51" s="169">
        <f t="shared" si="4"/>
        <v>-361.15410980775306</v>
      </c>
      <c r="I51" s="169">
        <f t="shared" ref="I51:I77" si="13">IF(B51&lt;&gt;"",I50+D51,"")</f>
        <v>9060.2199615390782</v>
      </c>
      <c r="J51" s="169" t="str">
        <f>IF(B51&lt;&gt;"",IF(AND(المدخلات!$H$17="سنوي",MOD(B51,12)=0),المدخلات!$J$17,IF(AND(المدخلات!$H$17="القسط (الدفعة) الاول",B51=1),المدخلات!$J$17,IF(المدخلات!$H$17="شهري",المدخلات!$J$17,""))),"")</f>
        <v/>
      </c>
      <c r="K51" s="169" t="str">
        <f>IF(B51&lt;&gt;"",IF(AND(المدخلات!$H$18="سنوي",MOD(B51,12)=0),المدخلات!$J$18,IF(AND(المدخلات!$H$18="القسط (الدفعة) الاول",B51=1),المدخلات!$J$18,IF(المدخلات!$H$18="شهري",المدخلات!$J$18,""))),"")</f>
        <v/>
      </c>
      <c r="L51" s="169">
        <f>IF(B51&lt;&gt;"",IF(AND(المدخلات!$H$19="سنوي",MOD(B51,12)=0),المدخلات!$J$19,IF(AND(المدخلات!$H$19="القسط (الدفعة) الاول",B51=1),المدخلات!$J$19,IF(المدخلات!$H$19="شهري",المدخلات!$J$19,IF(AND(المدخلات!$H$19="End of the loan",B51=المدخلات!$E$22),المدخلات!$J$19,"")))),"")</f>
        <v>0</v>
      </c>
      <c r="M51" s="169">
        <f t="shared" si="10"/>
        <v>0</v>
      </c>
      <c r="N51" s="170">
        <f t="shared" si="1"/>
        <v>361.15410980775306</v>
      </c>
      <c r="R51" s="9">
        <f t="shared" si="6"/>
        <v>46325</v>
      </c>
      <c r="S51" s="5">
        <f t="shared" si="7"/>
        <v>361.15</v>
      </c>
    </row>
    <row r="52" spans="2:19" x14ac:dyDescent="0.2">
      <c r="B52" s="167">
        <f t="shared" si="8"/>
        <v>35</v>
      </c>
      <c r="C52" s="168">
        <f t="shared" si="9"/>
        <v>46356</v>
      </c>
      <c r="D52" s="169">
        <f>IFERROR(IF(B52&lt;&gt;"",PPMT(المدخلات!$E$18/12,B52,$C$6,المدخلات!$E$17),"")," ")</f>
        <v>-336.99352324364889</v>
      </c>
      <c r="E52" s="169">
        <f>IFERROR(IPMT(المدخلات!$E$18/12,B52,$C$6,المدخلات!$E$17)," ")</f>
        <v>-24.160586564104189</v>
      </c>
      <c r="F52" s="169">
        <f t="shared" si="11"/>
        <v>-11276.773561704575</v>
      </c>
      <c r="G52" s="169">
        <f t="shared" si="12"/>
        <v>-1363.6202815667818</v>
      </c>
      <c r="H52" s="169">
        <f t="shared" si="4"/>
        <v>-361.15410980775306</v>
      </c>
      <c r="I52" s="169">
        <f t="shared" si="13"/>
        <v>8723.226438295429</v>
      </c>
      <c r="J52" s="169" t="str">
        <f>IF(B52&lt;&gt;"",IF(AND(المدخلات!$H$17="سنوي",MOD(B52,12)=0),المدخلات!$J$17,IF(AND(المدخلات!$H$17="القسط (الدفعة) الاول",B52=1),المدخلات!$J$17,IF(المدخلات!$H$17="شهري",المدخلات!$J$17,""))),"")</f>
        <v/>
      </c>
      <c r="K52" s="169" t="str">
        <f>IF(B52&lt;&gt;"",IF(AND(المدخلات!$H$18="سنوي",MOD(B52,12)=0),المدخلات!$J$18,IF(AND(المدخلات!$H$18="القسط (الدفعة) الاول",B52=1),المدخلات!$J$18,IF(المدخلات!$H$18="شهري",المدخلات!$J$18,""))),"")</f>
        <v/>
      </c>
      <c r="L52" s="169">
        <f>IF(B52&lt;&gt;"",IF(AND(المدخلات!$H$19="سنوي",MOD(B52,12)=0),المدخلات!$J$19,IF(AND(المدخلات!$H$19="القسط (الدفعة) الاول",B52=1),المدخلات!$J$19,IF(المدخلات!$H$19="شهري",المدخلات!$J$19,IF(AND(المدخلات!$H$19="End of the loan",B52=المدخلات!$E$22),المدخلات!$J$19,"")))),"")</f>
        <v>0</v>
      </c>
      <c r="M52" s="169">
        <f t="shared" si="10"/>
        <v>0</v>
      </c>
      <c r="N52" s="170">
        <f t="shared" si="1"/>
        <v>361.15410980775306</v>
      </c>
      <c r="R52" s="9">
        <f t="shared" si="6"/>
        <v>46356</v>
      </c>
      <c r="S52" s="5">
        <f t="shared" si="7"/>
        <v>361.15</v>
      </c>
    </row>
    <row r="53" spans="2:19" x14ac:dyDescent="0.2">
      <c r="B53" s="167">
        <f t="shared" si="8"/>
        <v>36</v>
      </c>
      <c r="C53" s="168">
        <f t="shared" si="9"/>
        <v>46386</v>
      </c>
      <c r="D53" s="169">
        <f>IFERROR(IF(B53&lt;&gt;"",PPMT(المدخلات!$E$18/12,B53,$C$6,المدخلات!$E$17),"")," ")</f>
        <v>-337.89217263896529</v>
      </c>
      <c r="E53" s="169">
        <f>IFERROR(IPMT(المدخلات!$E$18/12,B53,$C$6,المدخلات!$E$17)," ")</f>
        <v>-23.261937168787796</v>
      </c>
      <c r="F53" s="169">
        <f t="shared" si="11"/>
        <v>-11614.66573434354</v>
      </c>
      <c r="G53" s="169">
        <f t="shared" si="12"/>
        <v>-1386.8822187355697</v>
      </c>
      <c r="H53" s="169">
        <f t="shared" si="4"/>
        <v>-361.15410980775312</v>
      </c>
      <c r="I53" s="169">
        <f t="shared" si="13"/>
        <v>8385.3342656564637</v>
      </c>
      <c r="J53" s="169" t="str">
        <f>IF(B53&lt;&gt;"",IF(AND(المدخلات!$H$17="سنوي",MOD(B53,12)=0),المدخلات!$J$17,IF(AND(المدخلات!$H$17="القسط (الدفعة) الاول",B53=1),المدخلات!$J$17,IF(المدخلات!$H$17="شهري",المدخلات!$J$17,""))),"")</f>
        <v/>
      </c>
      <c r="K53" s="169">
        <f>IF(B53&lt;&gt;"",IF(AND(المدخلات!$H$18="سنوي",MOD(B53,12)=0),المدخلات!$J$18,IF(AND(المدخلات!$H$18="القسط (الدفعة) الاول",B53=1),المدخلات!$J$18,IF(المدخلات!$H$18="شهري",المدخلات!$J$18,""))),"")</f>
        <v>0</v>
      </c>
      <c r="L53" s="169">
        <f>IF(B53&lt;&gt;"",IF(AND(المدخلات!$H$19="سنوي",MOD(B53,12)=0),المدخلات!$J$19,IF(AND(المدخلات!$H$19="القسط (الدفعة) الاول",B53=1),المدخلات!$J$19,IF(المدخلات!$H$19="شهري",المدخلات!$J$19,IF(AND(المدخلات!$H$19="End of the loan",B53=المدخلات!$E$22),المدخلات!$J$19,"")))),"")</f>
        <v>0</v>
      </c>
      <c r="M53" s="169">
        <f t="shared" si="10"/>
        <v>0</v>
      </c>
      <c r="N53" s="170">
        <f t="shared" si="1"/>
        <v>361.15410980775312</v>
      </c>
      <c r="R53" s="9">
        <f t="shared" si="6"/>
        <v>46386</v>
      </c>
      <c r="S53" s="5">
        <f t="shared" si="7"/>
        <v>361.15</v>
      </c>
    </row>
    <row r="54" spans="2:19" x14ac:dyDescent="0.2">
      <c r="B54" s="167">
        <f t="shared" si="8"/>
        <v>37</v>
      </c>
      <c r="C54" s="168">
        <f t="shared" si="9"/>
        <v>46417</v>
      </c>
      <c r="D54" s="169">
        <f>IFERROR(IF(B54&lt;&gt;"",PPMT(المدخلات!$E$18/12,B54,$C$6,المدخلات!$E$17),"")," ")</f>
        <v>-338.79321843266916</v>
      </c>
      <c r="E54" s="169">
        <f>IFERROR(IPMT(المدخلات!$E$18/12,B54,$C$6,المدخلات!$E$17)," ")</f>
        <v>-22.360891375083892</v>
      </c>
      <c r="F54" s="169">
        <f t="shared" si="11"/>
        <v>-11953.458952776209</v>
      </c>
      <c r="G54" s="169">
        <f t="shared" si="12"/>
        <v>-1409.2431101106536</v>
      </c>
      <c r="H54" s="169">
        <f t="shared" si="4"/>
        <v>-361.15410980775306</v>
      </c>
      <c r="I54" s="169">
        <f t="shared" si="13"/>
        <v>8046.5410472237945</v>
      </c>
      <c r="J54" s="169" t="str">
        <f>IF(B54&lt;&gt;"",IF(AND(المدخلات!$H$17="سنوي",MOD(B54,12)=0),المدخلات!$J$17,IF(AND(المدخلات!$H$17="القسط (الدفعة) الاول",B54=1),المدخلات!$J$17,IF(المدخلات!$H$17="شهري",المدخلات!$J$17,""))),"")</f>
        <v/>
      </c>
      <c r="K54" s="169" t="str">
        <f>IF(B54&lt;&gt;"",IF(AND(المدخلات!$H$18="سنوي",MOD(B54,12)=0),المدخلات!$J$18,IF(AND(المدخلات!$H$18="القسط (الدفعة) الاول",B54=1),المدخلات!$J$18,IF(المدخلات!$H$18="شهري",المدخلات!$J$18,""))),"")</f>
        <v/>
      </c>
      <c r="L54" s="169">
        <f>IF(B54&lt;&gt;"",IF(AND(المدخلات!$H$19="سنوي",MOD(B54,12)=0),المدخلات!$J$19,IF(AND(المدخلات!$H$19="القسط (الدفعة) الاول",B54=1),المدخلات!$J$19,IF(المدخلات!$H$19="شهري",المدخلات!$J$19,IF(AND(المدخلات!$H$19="End of the loan",B54=المدخلات!$E$22),المدخلات!$J$19,"")))),"")</f>
        <v>0</v>
      </c>
      <c r="M54" s="169">
        <f t="shared" si="10"/>
        <v>0</v>
      </c>
      <c r="N54" s="170">
        <f t="shared" si="1"/>
        <v>361.15410980775306</v>
      </c>
      <c r="R54" s="9">
        <f t="shared" si="6"/>
        <v>46417</v>
      </c>
      <c r="S54" s="5">
        <f t="shared" si="7"/>
        <v>361.15</v>
      </c>
    </row>
    <row r="55" spans="2:19" x14ac:dyDescent="0.2">
      <c r="B55" s="167">
        <f t="shared" si="8"/>
        <v>38</v>
      </c>
      <c r="C55" s="168">
        <f t="shared" si="9"/>
        <v>46446</v>
      </c>
      <c r="D55" s="169">
        <f>IFERROR(IF(B55&lt;&gt;"",PPMT(المدخلات!$E$18/12,B55,$C$6,المدخلات!$E$17),"")," ")</f>
        <v>-339.69666701515632</v>
      </c>
      <c r="E55" s="169">
        <f>IFERROR(IPMT(المدخلات!$E$18/12,B55,$C$6,المدخلات!$E$17)," ")</f>
        <v>-21.457442792596769</v>
      </c>
      <c r="F55" s="169">
        <f t="shared" si="11"/>
        <v>-12293.155619791365</v>
      </c>
      <c r="G55" s="169">
        <f t="shared" si="12"/>
        <v>-1430.7005529032504</v>
      </c>
      <c r="H55" s="169">
        <f t="shared" si="4"/>
        <v>-361.15410980775312</v>
      </c>
      <c r="I55" s="169">
        <f t="shared" si="13"/>
        <v>7706.8443802086385</v>
      </c>
      <c r="J55" s="169" t="str">
        <f>IF(B55&lt;&gt;"",IF(AND(المدخلات!$H$17="سنوي",MOD(B55,12)=0),المدخلات!$J$17,IF(AND(المدخلات!$H$17="القسط (الدفعة) الاول",B55=1),المدخلات!$J$17,IF(المدخلات!$H$17="شهري",المدخلات!$J$17,""))),"")</f>
        <v/>
      </c>
      <c r="K55" s="169" t="str">
        <f>IF(B55&lt;&gt;"",IF(AND(المدخلات!$H$18="سنوي",MOD(B55,12)=0),المدخلات!$J$18,IF(AND(المدخلات!$H$18="القسط (الدفعة) الاول",B55=1),المدخلات!$J$18,IF(المدخلات!$H$18="شهري",المدخلات!$J$18,""))),"")</f>
        <v/>
      </c>
      <c r="L55" s="169">
        <f>IF(B55&lt;&gt;"",IF(AND(المدخلات!$H$19="سنوي",MOD(B55,12)=0),المدخلات!$J$19,IF(AND(المدخلات!$H$19="القسط (الدفعة) الاول",B55=1),المدخلات!$J$19,IF(المدخلات!$H$19="شهري",المدخلات!$J$19,IF(AND(المدخلات!$H$19="End of the loan",B55=المدخلات!$E$22),المدخلات!$J$19,"")))),"")</f>
        <v>0</v>
      </c>
      <c r="M55" s="169">
        <f t="shared" si="10"/>
        <v>0</v>
      </c>
      <c r="N55" s="170">
        <f t="shared" si="1"/>
        <v>361.15410980775312</v>
      </c>
      <c r="R55" s="9">
        <f t="shared" si="6"/>
        <v>46446</v>
      </c>
      <c r="S55" s="5">
        <f t="shared" si="7"/>
        <v>361.15</v>
      </c>
    </row>
    <row r="56" spans="2:19" x14ac:dyDescent="0.2">
      <c r="B56" s="167">
        <f t="shared" si="8"/>
        <v>39</v>
      </c>
      <c r="C56" s="168">
        <f t="shared" si="9"/>
        <v>46476</v>
      </c>
      <c r="D56" s="169">
        <f>IFERROR(IF(B56&lt;&gt;"",PPMT(المدخلات!$E$18/12,B56,$C$6,المدخلات!$E$17),"")," ")</f>
        <v>-340.60252479386338</v>
      </c>
      <c r="E56" s="169">
        <f>IFERROR(IPMT(المدخلات!$E$18/12,B56,$C$6,المدخلات!$E$17)," ")</f>
        <v>-20.551585013889689</v>
      </c>
      <c r="F56" s="169">
        <f t="shared" si="11"/>
        <v>-12633.758144585228</v>
      </c>
      <c r="G56" s="169">
        <f t="shared" si="12"/>
        <v>-1451.2521379171401</v>
      </c>
      <c r="H56" s="169">
        <f t="shared" si="4"/>
        <v>-361.15410980775306</v>
      </c>
      <c r="I56" s="169">
        <f t="shared" si="13"/>
        <v>7366.2418554147753</v>
      </c>
      <c r="J56" s="169" t="str">
        <f>IF(B56&lt;&gt;"",IF(AND(المدخلات!$H$17="سنوي",MOD(B56,12)=0),المدخلات!$J$17,IF(AND(المدخلات!$H$17="القسط (الدفعة) الاول",B56=1),المدخلات!$J$17,IF(المدخلات!$H$17="شهري",المدخلات!$J$17,""))),"")</f>
        <v/>
      </c>
      <c r="K56" s="169" t="str">
        <f>IF(B56&lt;&gt;"",IF(AND(المدخلات!$H$18="سنوي",MOD(B56,12)=0),المدخلات!$J$18,IF(AND(المدخلات!$H$18="القسط (الدفعة) الاول",B56=1),المدخلات!$J$18,IF(المدخلات!$H$18="شهري",المدخلات!$J$18,""))),"")</f>
        <v/>
      </c>
      <c r="L56" s="169">
        <f>IF(B56&lt;&gt;"",IF(AND(المدخلات!$H$19="سنوي",MOD(B56,12)=0),المدخلات!$J$19,IF(AND(المدخلات!$H$19="القسط (الدفعة) الاول",B56=1),المدخلات!$J$19,IF(المدخلات!$H$19="شهري",المدخلات!$J$19,IF(AND(المدخلات!$H$19="End of the loan",B56=المدخلات!$E$22),المدخلات!$J$19,"")))),"")</f>
        <v>0</v>
      </c>
      <c r="M56" s="169">
        <f t="shared" si="10"/>
        <v>0</v>
      </c>
      <c r="N56" s="170">
        <f t="shared" si="1"/>
        <v>361.15410980775306</v>
      </c>
      <c r="R56" s="9">
        <f t="shared" si="6"/>
        <v>46476</v>
      </c>
      <c r="S56" s="5">
        <f t="shared" si="7"/>
        <v>361.15</v>
      </c>
    </row>
    <row r="57" spans="2:19" x14ac:dyDescent="0.2">
      <c r="B57" s="167">
        <f t="shared" si="8"/>
        <v>40</v>
      </c>
      <c r="C57" s="168">
        <f t="shared" si="9"/>
        <v>46507</v>
      </c>
      <c r="D57" s="169">
        <f>IFERROR(IF(B57&lt;&gt;"",PPMT(المدخلات!$E$18/12,B57,$C$6,المدخلات!$E$17),"")," ")</f>
        <v>-341.51079819331369</v>
      </c>
      <c r="E57" s="169">
        <f>IFERROR(IPMT(المدخلات!$E$18/12,B57,$C$6,المدخلات!$E$17)," ")</f>
        <v>-19.643311614439384</v>
      </c>
      <c r="F57" s="169">
        <f t="shared" si="11"/>
        <v>-12975.268942778543</v>
      </c>
      <c r="G57" s="169">
        <f t="shared" si="12"/>
        <v>-1470.8954495315795</v>
      </c>
      <c r="H57" s="169">
        <f t="shared" si="4"/>
        <v>-361.15410980775306</v>
      </c>
      <c r="I57" s="169">
        <f t="shared" si="13"/>
        <v>7024.7310572214619</v>
      </c>
      <c r="J57" s="169" t="str">
        <f>IF(B57&lt;&gt;"",IF(AND(المدخلات!$H$17="سنوي",MOD(B57,12)=0),المدخلات!$J$17,IF(AND(المدخلات!$H$17="القسط (الدفعة) الاول",B57=1),المدخلات!$J$17,IF(المدخلات!$H$17="شهري",المدخلات!$J$17,""))),"")</f>
        <v/>
      </c>
      <c r="K57" s="169" t="str">
        <f>IF(B57&lt;&gt;"",IF(AND(المدخلات!$H$18="سنوي",MOD(B57,12)=0),المدخلات!$J$18,IF(AND(المدخلات!$H$18="القسط (الدفعة) الاول",B57=1),المدخلات!$J$18,IF(المدخلات!$H$18="شهري",المدخلات!$J$18,""))),"")</f>
        <v/>
      </c>
      <c r="L57" s="169">
        <f>IF(B57&lt;&gt;"",IF(AND(المدخلات!$H$19="سنوي",MOD(B57,12)=0),المدخلات!$J$19,IF(AND(المدخلات!$H$19="القسط (الدفعة) الاول",B57=1),المدخلات!$J$19,IF(المدخلات!$H$19="شهري",المدخلات!$J$19,IF(AND(المدخلات!$H$19="End of the loan",B57=المدخلات!$E$22),المدخلات!$J$19,"")))),"")</f>
        <v>0</v>
      </c>
      <c r="M57" s="169">
        <f t="shared" si="10"/>
        <v>0</v>
      </c>
      <c r="N57" s="170">
        <f t="shared" si="1"/>
        <v>361.15410980775306</v>
      </c>
      <c r="R57" s="9">
        <f t="shared" si="6"/>
        <v>46507</v>
      </c>
      <c r="S57" s="5">
        <f t="shared" si="7"/>
        <v>361.15</v>
      </c>
    </row>
    <row r="58" spans="2:19" x14ac:dyDescent="0.2">
      <c r="B58" s="167">
        <f t="shared" si="8"/>
        <v>41</v>
      </c>
      <c r="C58" s="168">
        <f t="shared" si="9"/>
        <v>46537</v>
      </c>
      <c r="D58" s="169">
        <f>IFERROR(IF(B58&lt;&gt;"",PPMT(المدخلات!$E$18/12,B58,$C$6,المدخلات!$E$17),"")," ")</f>
        <v>-342.42149365516252</v>
      </c>
      <c r="E58" s="169">
        <f>IFERROR(IPMT(المدخلات!$E$18/12,B58,$C$6,المدخلات!$E$17)," ")</f>
        <v>-18.732616152590545</v>
      </c>
      <c r="F58" s="169">
        <f t="shared" si="11"/>
        <v>-13317.690436433706</v>
      </c>
      <c r="G58" s="169">
        <f t="shared" si="12"/>
        <v>-1489.62806568417</v>
      </c>
      <c r="H58" s="169">
        <f t="shared" si="4"/>
        <v>-361.15410980775306</v>
      </c>
      <c r="I58" s="169">
        <f t="shared" si="13"/>
        <v>6682.3095635662994</v>
      </c>
      <c r="J58" s="169" t="str">
        <f>IF(B58&lt;&gt;"",IF(AND(المدخلات!$H$17="سنوي",MOD(B58,12)=0),المدخلات!$J$17,IF(AND(المدخلات!$H$17="القسط (الدفعة) الاول",B58=1),المدخلات!$J$17,IF(المدخلات!$H$17="شهري",المدخلات!$J$17,""))),"")</f>
        <v/>
      </c>
      <c r="K58" s="169" t="str">
        <f>IF(B58&lt;&gt;"",IF(AND(المدخلات!$H$18="سنوي",MOD(B58,12)=0),المدخلات!$J$18,IF(AND(المدخلات!$H$18="القسط (الدفعة) الاول",B58=1),المدخلات!$J$18,IF(المدخلات!$H$18="شهري",المدخلات!$J$18,""))),"")</f>
        <v/>
      </c>
      <c r="L58" s="169">
        <f>IF(B58&lt;&gt;"",IF(AND(المدخلات!$H$19="سنوي",MOD(B58,12)=0),المدخلات!$J$19,IF(AND(المدخلات!$H$19="القسط (الدفعة) الاول",B58=1),المدخلات!$J$19,IF(المدخلات!$H$19="شهري",المدخلات!$J$19,IF(AND(المدخلات!$H$19="End of the loan",B58=المدخلات!$E$22),المدخلات!$J$19,"")))),"")</f>
        <v>0</v>
      </c>
      <c r="M58" s="169">
        <f t="shared" si="10"/>
        <v>0</v>
      </c>
      <c r="N58" s="170">
        <f t="shared" si="1"/>
        <v>361.15410980775306</v>
      </c>
      <c r="R58" s="9">
        <f t="shared" si="6"/>
        <v>46537</v>
      </c>
      <c r="S58" s="5">
        <f t="shared" si="7"/>
        <v>361.15</v>
      </c>
    </row>
    <row r="59" spans="2:19" x14ac:dyDescent="0.2">
      <c r="B59" s="167">
        <f t="shared" si="8"/>
        <v>42</v>
      </c>
      <c r="C59" s="168">
        <f t="shared" si="9"/>
        <v>46568</v>
      </c>
      <c r="D59" s="169">
        <f>IFERROR(IF(B59&lt;&gt;"",PPMT(المدخلات!$E$18/12,B59,$C$6,المدخلات!$E$17),"")," ")</f>
        <v>-343.33461763824295</v>
      </c>
      <c r="E59" s="169">
        <f>IFERROR(IPMT(المدخلات!$E$18/12,B59,$C$6,المدخلات!$E$17)," ")</f>
        <v>-17.819492169510113</v>
      </c>
      <c r="F59" s="169">
        <f t="shared" si="11"/>
        <v>-13661.02505407195</v>
      </c>
      <c r="G59" s="169">
        <f t="shared" si="12"/>
        <v>-1507.4475578536801</v>
      </c>
      <c r="H59" s="169">
        <f t="shared" si="4"/>
        <v>-361.15410980775306</v>
      </c>
      <c r="I59" s="169">
        <f t="shared" si="13"/>
        <v>6338.9749459280565</v>
      </c>
      <c r="J59" s="169" t="str">
        <f>IF(B59&lt;&gt;"",IF(AND(المدخلات!$H$17="سنوي",MOD(B59,12)=0),المدخلات!$J$17,IF(AND(المدخلات!$H$17="القسط (الدفعة) الاول",B59=1),المدخلات!$J$17,IF(المدخلات!$H$17="شهري",المدخلات!$J$17,""))),"")</f>
        <v/>
      </c>
      <c r="K59" s="169" t="str">
        <f>IF(B59&lt;&gt;"",IF(AND(المدخلات!$H$18="سنوي",MOD(B59,12)=0),المدخلات!$J$18,IF(AND(المدخلات!$H$18="القسط (الدفعة) الاول",B59=1),المدخلات!$J$18,IF(المدخلات!$H$18="شهري",المدخلات!$J$18,""))),"")</f>
        <v/>
      </c>
      <c r="L59" s="169">
        <f>IF(B59&lt;&gt;"",IF(AND(المدخلات!$H$19="سنوي",MOD(B59,12)=0),المدخلات!$J$19,IF(AND(المدخلات!$H$19="القسط (الدفعة) الاول",B59=1),المدخلات!$J$19,IF(المدخلات!$H$19="شهري",المدخلات!$J$19,IF(AND(المدخلات!$H$19="End of the loan",B59=المدخلات!$E$22),المدخلات!$J$19,"")))),"")</f>
        <v>0</v>
      </c>
      <c r="M59" s="169">
        <f t="shared" si="10"/>
        <v>0</v>
      </c>
      <c r="N59" s="170">
        <f t="shared" si="1"/>
        <v>361.15410980775306</v>
      </c>
      <c r="R59" s="9">
        <f t="shared" si="6"/>
        <v>46568</v>
      </c>
      <c r="S59" s="5">
        <f t="shared" si="7"/>
        <v>361.15</v>
      </c>
    </row>
    <row r="60" spans="2:19" x14ac:dyDescent="0.2">
      <c r="B60" s="167">
        <f t="shared" si="8"/>
        <v>43</v>
      </c>
      <c r="C60" s="168">
        <f t="shared" si="9"/>
        <v>46598</v>
      </c>
      <c r="D60" s="169">
        <f>IFERROR(IF(B60&lt;&gt;"",PPMT(المدخلات!$E$18/12,B60,$C$6,المدخلات!$E$17),"")," ")</f>
        <v>-344.25017661861159</v>
      </c>
      <c r="E60" s="169">
        <f>IFERROR(IPMT(المدخلات!$E$18/12,B60,$C$6,المدخلات!$E$17)," ")</f>
        <v>-16.903933189141465</v>
      </c>
      <c r="F60" s="169">
        <f t="shared" si="11"/>
        <v>-14005.275230690562</v>
      </c>
      <c r="G60" s="169">
        <f t="shared" si="12"/>
        <v>-1524.3514910428216</v>
      </c>
      <c r="H60" s="169">
        <f t="shared" si="4"/>
        <v>-361.15410980775306</v>
      </c>
      <c r="I60" s="169">
        <f t="shared" si="13"/>
        <v>5994.724769309445</v>
      </c>
      <c r="J60" s="169" t="str">
        <f>IF(B60&lt;&gt;"",IF(AND(المدخلات!$H$17="سنوي",MOD(B60,12)=0),المدخلات!$J$17,IF(AND(المدخلات!$H$17="القسط (الدفعة) الاول",B60=1),المدخلات!$J$17,IF(المدخلات!$H$17="شهري",المدخلات!$J$17,""))),"")</f>
        <v/>
      </c>
      <c r="K60" s="169" t="str">
        <f>IF(B60&lt;&gt;"",IF(AND(المدخلات!$H$18="سنوي",MOD(B60,12)=0),المدخلات!$J$18,IF(AND(المدخلات!$H$18="القسط (الدفعة) الاول",B60=1),المدخلات!$J$18,IF(المدخلات!$H$18="شهري",المدخلات!$J$18,""))),"")</f>
        <v/>
      </c>
      <c r="L60" s="169">
        <f>IF(B60&lt;&gt;"",IF(AND(المدخلات!$H$19="سنوي",MOD(B60,12)=0),المدخلات!$J$19,IF(AND(المدخلات!$H$19="القسط (الدفعة) الاول",B60=1),المدخلات!$J$19,IF(المدخلات!$H$19="شهري",المدخلات!$J$19,IF(AND(المدخلات!$H$19="End of the loan",B60=المدخلات!$E$22),المدخلات!$J$19,"")))),"")</f>
        <v>0</v>
      </c>
      <c r="M60" s="169">
        <f t="shared" si="10"/>
        <v>0</v>
      </c>
      <c r="N60" s="170">
        <f t="shared" si="1"/>
        <v>361.15410980775306</v>
      </c>
      <c r="R60" s="9">
        <f t="shared" si="6"/>
        <v>46598</v>
      </c>
      <c r="S60" s="5">
        <f t="shared" si="7"/>
        <v>361.15</v>
      </c>
    </row>
    <row r="61" spans="2:19" x14ac:dyDescent="0.2">
      <c r="B61" s="167">
        <f t="shared" si="8"/>
        <v>44</v>
      </c>
      <c r="C61" s="168">
        <f t="shared" si="9"/>
        <v>46629</v>
      </c>
      <c r="D61" s="169">
        <f>IFERROR(IF(B61&lt;&gt;"",PPMT(المدخلات!$E$18/12,B61,$C$6,المدخلات!$E$17),"")," ")</f>
        <v>-345.16817708959456</v>
      </c>
      <c r="E61" s="169">
        <f>IFERROR(IPMT(المدخلات!$E$18/12,B61,$C$6,المدخلات!$E$17)," ")</f>
        <v>-15.9859327181585</v>
      </c>
      <c r="F61" s="169">
        <f t="shared" si="11"/>
        <v>-14350.443407780156</v>
      </c>
      <c r="G61" s="169">
        <f t="shared" si="12"/>
        <v>-1540.3374237609801</v>
      </c>
      <c r="H61" s="169">
        <f t="shared" si="4"/>
        <v>-361.15410980775306</v>
      </c>
      <c r="I61" s="169">
        <f t="shared" si="13"/>
        <v>5649.5565922198502</v>
      </c>
      <c r="J61" s="169" t="str">
        <f>IF(B61&lt;&gt;"",IF(AND(المدخلات!$H$17="سنوي",MOD(B61,12)=0),المدخلات!$J$17,IF(AND(المدخلات!$H$17="القسط (الدفعة) الاول",B61=1),المدخلات!$J$17,IF(المدخلات!$H$17="شهري",المدخلات!$J$17,""))),"")</f>
        <v/>
      </c>
      <c r="K61" s="169" t="str">
        <f>IF(B61&lt;&gt;"",IF(AND(المدخلات!$H$18="سنوي",MOD(B61,12)=0),المدخلات!$J$18,IF(AND(المدخلات!$H$18="القسط (الدفعة) الاول",B61=1),المدخلات!$J$18,IF(المدخلات!$H$18="شهري",المدخلات!$J$18,""))),"")</f>
        <v/>
      </c>
      <c r="L61" s="169">
        <f>IF(B61&lt;&gt;"",IF(AND(المدخلات!$H$19="سنوي",MOD(B61,12)=0),المدخلات!$J$19,IF(AND(المدخلات!$H$19="القسط (الدفعة) الاول",B61=1),المدخلات!$J$19,IF(المدخلات!$H$19="شهري",المدخلات!$J$19,IF(AND(المدخلات!$H$19="End of the loan",B61=المدخلات!$E$22),المدخلات!$J$19,"")))),"")</f>
        <v>0</v>
      </c>
      <c r="M61" s="169">
        <f t="shared" si="10"/>
        <v>0</v>
      </c>
      <c r="N61" s="170">
        <f t="shared" si="1"/>
        <v>361.15410980775306</v>
      </c>
      <c r="R61" s="9">
        <f t="shared" si="6"/>
        <v>46629</v>
      </c>
      <c r="S61" s="5">
        <f t="shared" si="7"/>
        <v>361.15</v>
      </c>
    </row>
    <row r="62" spans="2:19" x14ac:dyDescent="0.2">
      <c r="B62" s="167">
        <f t="shared" si="8"/>
        <v>45</v>
      </c>
      <c r="C62" s="168">
        <f t="shared" si="9"/>
        <v>46660</v>
      </c>
      <c r="D62" s="169">
        <f>IFERROR(IF(B62&lt;&gt;"",PPMT(المدخلات!$E$18/12,B62,$C$6,المدخلات!$E$17),"")," ")</f>
        <v>-346.08862556183351</v>
      </c>
      <c r="E62" s="169">
        <f>IFERROR(IPMT(المدخلات!$E$18/12,B62,$C$6,المدخلات!$E$17)," ")</f>
        <v>-15.065484245919583</v>
      </c>
      <c r="F62" s="169">
        <f t="shared" si="11"/>
        <v>-14696.53203334199</v>
      </c>
      <c r="G62" s="169">
        <f t="shared" si="12"/>
        <v>-1555.4029080068997</v>
      </c>
      <c r="H62" s="169">
        <f t="shared" si="4"/>
        <v>-361.15410980775312</v>
      </c>
      <c r="I62" s="169">
        <f t="shared" si="13"/>
        <v>5303.4679666580168</v>
      </c>
      <c r="J62" s="169" t="str">
        <f>IF(B62&lt;&gt;"",IF(AND(المدخلات!$H$17="سنوي",MOD(B62,12)=0),المدخلات!$J$17,IF(AND(المدخلات!$H$17="القسط (الدفعة) الاول",B62=1),المدخلات!$J$17,IF(المدخلات!$H$17="شهري",المدخلات!$J$17,""))),"")</f>
        <v/>
      </c>
      <c r="K62" s="169" t="str">
        <f>IF(B62&lt;&gt;"",IF(AND(المدخلات!$H$18="سنوي",MOD(B62,12)=0),المدخلات!$J$18,IF(AND(المدخلات!$H$18="القسط (الدفعة) الاول",B62=1),المدخلات!$J$18,IF(المدخلات!$H$18="شهري",المدخلات!$J$18,""))),"")</f>
        <v/>
      </c>
      <c r="L62" s="169">
        <f>IF(B62&lt;&gt;"",IF(AND(المدخلات!$H$19="سنوي",MOD(B62,12)=0),المدخلات!$J$19,IF(AND(المدخلات!$H$19="القسط (الدفعة) الاول",B62=1),المدخلات!$J$19,IF(المدخلات!$H$19="شهري",المدخلات!$J$19,IF(AND(المدخلات!$H$19="End of the loan",B62=المدخلات!$E$22),المدخلات!$J$19,"")))),"")</f>
        <v>0</v>
      </c>
      <c r="M62" s="169">
        <f t="shared" si="10"/>
        <v>0</v>
      </c>
      <c r="N62" s="170">
        <f t="shared" si="1"/>
        <v>361.15410980775312</v>
      </c>
      <c r="R62" s="9">
        <f t="shared" si="6"/>
        <v>46660</v>
      </c>
      <c r="S62" s="5">
        <f t="shared" si="7"/>
        <v>361.15</v>
      </c>
    </row>
    <row r="63" spans="2:19" x14ac:dyDescent="0.2">
      <c r="B63" s="167">
        <f t="shared" si="8"/>
        <v>46</v>
      </c>
      <c r="C63" s="168">
        <f t="shared" si="9"/>
        <v>46690</v>
      </c>
      <c r="D63" s="169">
        <f>IFERROR(IF(B63&lt;&gt;"",PPMT(المدخلات!$E$18/12,B63,$C$6,المدخلات!$E$17),"")," ")</f>
        <v>-347.01152856333175</v>
      </c>
      <c r="E63" s="169">
        <f>IFERROR(IPMT(المدخلات!$E$18/12,B63,$C$6,المدخلات!$E$17)," ")</f>
        <v>-14.142581244421363</v>
      </c>
      <c r="F63" s="169">
        <f t="shared" si="11"/>
        <v>-15043.543561905321</v>
      </c>
      <c r="G63" s="169">
        <f t="shared" si="12"/>
        <v>-1569.545489251321</v>
      </c>
      <c r="H63" s="169">
        <f t="shared" si="4"/>
        <v>-361.15410980775312</v>
      </c>
      <c r="I63" s="169">
        <f t="shared" si="13"/>
        <v>4956.4564380946849</v>
      </c>
      <c r="J63" s="169" t="str">
        <f>IF(B63&lt;&gt;"",IF(AND(المدخلات!$H$17="سنوي",MOD(B63,12)=0),المدخلات!$J$17,IF(AND(المدخلات!$H$17="القسط (الدفعة) الاول",B63=1),المدخلات!$J$17,IF(المدخلات!$H$17="شهري",المدخلات!$J$17,""))),"")</f>
        <v/>
      </c>
      <c r="K63" s="169" t="str">
        <f>IF(B63&lt;&gt;"",IF(AND(المدخلات!$H$18="سنوي",MOD(B63,12)=0),المدخلات!$J$18,IF(AND(المدخلات!$H$18="القسط (الدفعة) الاول",B63=1),المدخلات!$J$18,IF(المدخلات!$H$18="شهري",المدخلات!$J$18,""))),"")</f>
        <v/>
      </c>
      <c r="L63" s="169">
        <f>IF(B63&lt;&gt;"",IF(AND(المدخلات!$H$19="سنوي",MOD(B63,12)=0),المدخلات!$J$19,IF(AND(المدخلات!$H$19="القسط (الدفعة) الاول",B63=1),المدخلات!$J$19,IF(المدخلات!$H$19="شهري",المدخلات!$J$19,IF(AND(المدخلات!$H$19="End of the loan",B63=المدخلات!$E$22),المدخلات!$J$19,"")))),"")</f>
        <v>0</v>
      </c>
      <c r="M63" s="169">
        <f t="shared" si="10"/>
        <v>0</v>
      </c>
      <c r="N63" s="170">
        <f t="shared" si="1"/>
        <v>361.15410980775312</v>
      </c>
      <c r="R63" s="9">
        <f t="shared" si="6"/>
        <v>46690</v>
      </c>
      <c r="S63" s="5">
        <f t="shared" si="7"/>
        <v>361.15</v>
      </c>
    </row>
    <row r="64" spans="2:19" x14ac:dyDescent="0.2">
      <c r="B64" s="167">
        <f t="shared" si="8"/>
        <v>47</v>
      </c>
      <c r="C64" s="168">
        <f t="shared" si="9"/>
        <v>46721</v>
      </c>
      <c r="D64" s="169">
        <f>IFERROR(IF(B64&lt;&gt;"",PPMT(المدخلات!$E$18/12,B64,$C$6,المدخلات!$E$17),"")," ")</f>
        <v>-347.93689263950063</v>
      </c>
      <c r="E64" s="169">
        <f>IFERROR(IPMT(المدخلات!$E$18/12,B64,$C$6,المدخلات!$E$17)," ")</f>
        <v>-13.217217168252475</v>
      </c>
      <c r="F64" s="169">
        <f t="shared" si="11"/>
        <v>-15391.480454544821</v>
      </c>
      <c r="G64" s="169">
        <f t="shared" si="12"/>
        <v>-1582.7627064195735</v>
      </c>
      <c r="H64" s="169">
        <f t="shared" si="4"/>
        <v>-361.15410980775312</v>
      </c>
      <c r="I64" s="169">
        <f t="shared" si="13"/>
        <v>4608.519545455184</v>
      </c>
      <c r="J64" s="169" t="str">
        <f>IF(B64&lt;&gt;"",IF(AND(المدخلات!$H$17="سنوي",MOD(B64,12)=0),المدخلات!$J$17,IF(AND(المدخلات!$H$17="القسط (الدفعة) الاول",B64=1),المدخلات!$J$17,IF(المدخلات!$H$17="شهري",المدخلات!$J$17,""))),"")</f>
        <v/>
      </c>
      <c r="K64" s="169" t="str">
        <f>IF(B64&lt;&gt;"",IF(AND(المدخلات!$H$18="سنوي",MOD(B64,12)=0),المدخلات!$J$18,IF(AND(المدخلات!$H$18="القسط (الدفعة) الاول",B64=1),المدخلات!$J$18,IF(المدخلات!$H$18="شهري",المدخلات!$J$18,""))),"")</f>
        <v/>
      </c>
      <c r="L64" s="169">
        <f>IF(B64&lt;&gt;"",IF(AND(المدخلات!$H$19="سنوي",MOD(B64,12)=0),المدخلات!$J$19,IF(AND(المدخلات!$H$19="القسط (الدفعة) الاول",B64=1),المدخلات!$J$19,IF(المدخلات!$H$19="شهري",المدخلات!$J$19,IF(AND(المدخلات!$H$19="End of the loan",B64=المدخلات!$E$22),المدخلات!$J$19,"")))),"")</f>
        <v>0</v>
      </c>
      <c r="M64" s="169">
        <f t="shared" si="10"/>
        <v>0</v>
      </c>
      <c r="N64" s="170">
        <f t="shared" si="1"/>
        <v>361.15410980775312</v>
      </c>
      <c r="R64" s="9">
        <f t="shared" si="6"/>
        <v>46721</v>
      </c>
      <c r="S64" s="5">
        <f t="shared" si="7"/>
        <v>361.15</v>
      </c>
    </row>
    <row r="65" spans="2:19" x14ac:dyDescent="0.2">
      <c r="B65" s="167">
        <f t="shared" si="8"/>
        <v>48</v>
      </c>
      <c r="C65" s="168">
        <f t="shared" si="9"/>
        <v>46751</v>
      </c>
      <c r="D65" s="169">
        <f>IFERROR(IF(B65&lt;&gt;"",PPMT(المدخلات!$E$18/12,B65,$C$6,المدخلات!$E$17),"")," ")</f>
        <v>-348.86472435320593</v>
      </c>
      <c r="E65" s="169">
        <f>IFERROR(IPMT(المدخلات!$E$18/12,B65,$C$6,المدخلات!$E$17)," ")</f>
        <v>-12.289385454547142</v>
      </c>
      <c r="F65" s="169">
        <f t="shared" si="11"/>
        <v>-15740.345178898027</v>
      </c>
      <c r="G65" s="169">
        <f t="shared" si="12"/>
        <v>-1595.0520918741206</v>
      </c>
      <c r="H65" s="169">
        <f t="shared" si="4"/>
        <v>-361.15410980775306</v>
      </c>
      <c r="I65" s="169">
        <f t="shared" si="13"/>
        <v>4259.6548211019781</v>
      </c>
      <c r="J65" s="169" t="str">
        <f>IF(B65&lt;&gt;"",IF(AND(المدخلات!$H$17="سنوي",MOD(B65,12)=0),المدخلات!$J$17,IF(AND(المدخلات!$H$17="القسط (الدفعة) الاول",B65=1),المدخلات!$J$17,IF(المدخلات!$H$17="شهري",المدخلات!$J$17,""))),"")</f>
        <v/>
      </c>
      <c r="K65" s="169">
        <f>IF(B65&lt;&gt;"",IF(AND(المدخلات!$H$18="سنوي",MOD(B65,12)=0),المدخلات!$J$18,IF(AND(المدخلات!$H$18="القسط (الدفعة) الاول",B65=1),المدخلات!$J$18,IF(المدخلات!$H$18="شهري",المدخلات!$J$18,""))),"")</f>
        <v>0</v>
      </c>
      <c r="L65" s="169">
        <f>IF(B65&lt;&gt;"",IF(AND(المدخلات!$H$19="سنوي",MOD(B65,12)=0),المدخلات!$J$19,IF(AND(المدخلات!$H$19="القسط (الدفعة) الاول",B65=1),المدخلات!$J$19,IF(المدخلات!$H$19="شهري",المدخلات!$J$19,IF(AND(المدخلات!$H$19="End of the loan",B65=المدخلات!$E$22),المدخلات!$J$19,"")))),"")</f>
        <v>0</v>
      </c>
      <c r="M65" s="169">
        <f t="shared" si="10"/>
        <v>0</v>
      </c>
      <c r="N65" s="170">
        <f t="shared" si="1"/>
        <v>361.15410980775306</v>
      </c>
      <c r="R65" s="9">
        <f t="shared" si="6"/>
        <v>46751</v>
      </c>
      <c r="S65" s="5">
        <f t="shared" si="7"/>
        <v>361.15</v>
      </c>
    </row>
    <row r="66" spans="2:19" x14ac:dyDescent="0.2">
      <c r="B66" s="167">
        <f t="shared" si="8"/>
        <v>49</v>
      </c>
      <c r="C66" s="168">
        <f t="shared" si="9"/>
        <v>46782</v>
      </c>
      <c r="D66" s="169">
        <f>IFERROR(IF(B66&lt;&gt;"",PPMT(المدخلات!$E$18/12,B66,$C$6,المدخلات!$E$17),"")," ")</f>
        <v>-349.79503028481446</v>
      </c>
      <c r="E66" s="169">
        <f>IFERROR(IPMT(المدخلات!$E$18/12,B66,$C$6,المدخلات!$E$17)," ")</f>
        <v>-11.359079522938593</v>
      </c>
      <c r="F66" s="169">
        <f t="shared" si="11"/>
        <v>-16090.140209182842</v>
      </c>
      <c r="G66" s="169">
        <f t="shared" si="12"/>
        <v>-1606.4111713970592</v>
      </c>
      <c r="H66" s="169">
        <f t="shared" si="4"/>
        <v>-361.15410980775306</v>
      </c>
      <c r="I66" s="169">
        <f t="shared" si="13"/>
        <v>3909.8597908171637</v>
      </c>
      <c r="J66" s="169" t="str">
        <f>IF(B66&lt;&gt;"",IF(AND(المدخلات!$H$17="سنوي",MOD(B66,12)=0),المدخلات!$J$17,IF(AND(المدخلات!$H$17="القسط (الدفعة) الاول",B66=1),المدخلات!$J$17,IF(المدخلات!$H$17="شهري",المدخلات!$J$17,""))),"")</f>
        <v/>
      </c>
      <c r="K66" s="169" t="str">
        <f>IF(B66&lt;&gt;"",IF(AND(المدخلات!$H$18="سنوي",MOD(B66,12)=0),المدخلات!$J$18,IF(AND(المدخلات!$H$18="القسط (الدفعة) الاول",B66=1),المدخلات!$J$18,IF(المدخلات!$H$18="شهري",المدخلات!$J$18,""))),"")</f>
        <v/>
      </c>
      <c r="L66" s="169">
        <f>IF(B66&lt;&gt;"",IF(AND(المدخلات!$H$19="سنوي",MOD(B66,12)=0),المدخلات!$J$19,IF(AND(المدخلات!$H$19="القسط (الدفعة) الاول",B66=1),المدخلات!$J$19,IF(المدخلات!$H$19="شهري",المدخلات!$J$19,IF(AND(المدخلات!$H$19="End of the loan",B66=المدخلات!$E$22),المدخلات!$J$19,"")))),"")</f>
        <v>0</v>
      </c>
      <c r="M66" s="169">
        <f t="shared" si="10"/>
        <v>0</v>
      </c>
      <c r="N66" s="170">
        <f t="shared" si="1"/>
        <v>361.15410980775306</v>
      </c>
      <c r="R66" s="9">
        <f t="shared" si="6"/>
        <v>46782</v>
      </c>
      <c r="S66" s="5">
        <f t="shared" si="7"/>
        <v>361.15</v>
      </c>
    </row>
    <row r="67" spans="2:19" x14ac:dyDescent="0.2">
      <c r="B67" s="167">
        <f t="shared" si="8"/>
        <v>50</v>
      </c>
      <c r="C67" s="168">
        <f t="shared" si="9"/>
        <v>46812</v>
      </c>
      <c r="D67" s="169">
        <f>IFERROR(IF(B67&lt;&gt;"",PPMT(المدخلات!$E$18/12,B67,$C$6,المدخلات!$E$17),"")," ")</f>
        <v>-350.72781703224064</v>
      </c>
      <c r="E67" s="169">
        <f>IFERROR(IPMT(المدخلات!$E$18/12,B67,$C$6,المدخلات!$E$17)," ")</f>
        <v>-10.426292775512422</v>
      </c>
      <c r="F67" s="169">
        <f t="shared" si="11"/>
        <v>-16440.868026215081</v>
      </c>
      <c r="G67" s="169">
        <f t="shared" si="12"/>
        <v>-1616.8374641725716</v>
      </c>
      <c r="H67" s="169">
        <f t="shared" si="4"/>
        <v>-361.15410980775306</v>
      </c>
      <c r="I67" s="169">
        <f t="shared" si="13"/>
        <v>3559.131973784923</v>
      </c>
      <c r="J67" s="169" t="str">
        <f>IF(B67&lt;&gt;"",IF(AND(المدخلات!$H$17="سنوي",MOD(B67,12)=0),المدخلات!$J$17,IF(AND(المدخلات!$H$17="القسط (الدفعة) الاول",B67=1),المدخلات!$J$17,IF(المدخلات!$H$17="شهري",المدخلات!$J$17,""))),"")</f>
        <v/>
      </c>
      <c r="K67" s="169" t="str">
        <f>IF(B67&lt;&gt;"",IF(AND(المدخلات!$H$18="سنوي",MOD(B67,12)=0),المدخلات!$J$18,IF(AND(المدخلات!$H$18="القسط (الدفعة) الاول",B67=1),المدخلات!$J$18,IF(المدخلات!$H$18="شهري",المدخلات!$J$18,""))),"")</f>
        <v/>
      </c>
      <c r="L67" s="169">
        <f>IF(B67&lt;&gt;"",IF(AND(المدخلات!$H$19="سنوي",MOD(B67,12)=0),المدخلات!$J$19,IF(AND(المدخلات!$H$19="القسط (الدفعة) الاول",B67=1),المدخلات!$J$19,IF(المدخلات!$H$19="شهري",المدخلات!$J$19,IF(AND(المدخلات!$H$19="End of the loan",B67=المدخلات!$E$22),المدخلات!$J$19,"")))),"")</f>
        <v>0</v>
      </c>
      <c r="M67" s="169">
        <f t="shared" si="10"/>
        <v>0</v>
      </c>
      <c r="N67" s="170">
        <f t="shared" si="1"/>
        <v>361.15410980775306</v>
      </c>
      <c r="R67" s="9">
        <f t="shared" si="6"/>
        <v>46812</v>
      </c>
      <c r="S67" s="5">
        <f t="shared" si="7"/>
        <v>361.15</v>
      </c>
    </row>
    <row r="68" spans="2:19" x14ac:dyDescent="0.2">
      <c r="B68" s="167">
        <f t="shared" si="8"/>
        <v>51</v>
      </c>
      <c r="C68" s="168">
        <f t="shared" si="9"/>
        <v>46842</v>
      </c>
      <c r="D68" s="169">
        <f>IFERROR(IF(B68&lt;&gt;"",PPMT(المدخلات!$E$18/12,B68,$C$6,المدخلات!$E$17),"")," ")</f>
        <v>-351.66309121099329</v>
      </c>
      <c r="E68" s="169">
        <f>IFERROR(IPMT(المدخلات!$E$18/12,B68,$C$6,المدخلات!$E$17)," ")</f>
        <v>-9.491018596759778</v>
      </c>
      <c r="F68" s="169">
        <f t="shared" si="11"/>
        <v>-16792.531117426075</v>
      </c>
      <c r="G68" s="169">
        <f t="shared" si="12"/>
        <v>-1626.3284827693315</v>
      </c>
      <c r="H68" s="169">
        <f t="shared" si="4"/>
        <v>-361.15410980775306</v>
      </c>
      <c r="I68" s="169">
        <f t="shared" si="13"/>
        <v>3207.4688825739299</v>
      </c>
      <c r="J68" s="169" t="str">
        <f>IF(B68&lt;&gt;"",IF(AND(المدخلات!$H$17="سنوي",MOD(B68,12)=0),المدخلات!$J$17,IF(AND(المدخلات!$H$17="القسط (الدفعة) الاول",B68=1),المدخلات!$J$17,IF(المدخلات!$H$17="شهري",المدخلات!$J$17,""))),"")</f>
        <v/>
      </c>
      <c r="K68" s="169" t="str">
        <f>IF(B68&lt;&gt;"",IF(AND(المدخلات!$H$18="سنوي",MOD(B68,12)=0),المدخلات!$J$18,IF(AND(المدخلات!$H$18="القسط (الدفعة) الاول",B68=1),المدخلات!$J$18,IF(المدخلات!$H$18="شهري",المدخلات!$J$18,""))),"")</f>
        <v/>
      </c>
      <c r="L68" s="169">
        <f>IF(B68&lt;&gt;"",IF(AND(المدخلات!$H$19="سنوي",MOD(B68,12)=0),المدخلات!$J$19,IF(AND(المدخلات!$H$19="القسط (الدفعة) الاول",B68=1),المدخلات!$J$19,IF(المدخلات!$H$19="شهري",المدخلات!$J$19,IF(AND(المدخلات!$H$19="End of the loan",B68=المدخلات!$E$22),المدخلات!$J$19,"")))),"")</f>
        <v>0</v>
      </c>
      <c r="M68" s="169">
        <f t="shared" si="10"/>
        <v>0</v>
      </c>
      <c r="N68" s="170">
        <f t="shared" si="1"/>
        <v>361.15410980775306</v>
      </c>
      <c r="R68" s="9">
        <f t="shared" si="6"/>
        <v>46842</v>
      </c>
      <c r="S68" s="5">
        <f t="shared" si="7"/>
        <v>361.15</v>
      </c>
    </row>
    <row r="69" spans="2:19" x14ac:dyDescent="0.2">
      <c r="B69" s="167">
        <f t="shared" si="8"/>
        <v>52</v>
      </c>
      <c r="C69" s="168">
        <f t="shared" si="9"/>
        <v>46873</v>
      </c>
      <c r="D69" s="169">
        <f>IFERROR(IF(B69&lt;&gt;"",PPMT(المدخلات!$E$18/12,B69,$C$6,المدخلات!$E$17),"")," ")</f>
        <v>-352.60085945422264</v>
      </c>
      <c r="E69" s="169">
        <f>IFERROR(IPMT(المدخلات!$E$18/12,B69,$C$6,المدخلات!$E$17)," ")</f>
        <v>-8.5532503535304638</v>
      </c>
      <c r="F69" s="169">
        <f t="shared" si="11"/>
        <v>-17145.131976880297</v>
      </c>
      <c r="G69" s="169">
        <f t="shared" si="12"/>
        <v>-1634.881733122862</v>
      </c>
      <c r="H69" s="169">
        <f t="shared" si="4"/>
        <v>-361.15410980775312</v>
      </c>
      <c r="I69" s="169">
        <f t="shared" si="13"/>
        <v>2854.8680231197072</v>
      </c>
      <c r="J69" s="169" t="str">
        <f>IF(B69&lt;&gt;"",IF(AND(المدخلات!$H$17="سنوي",MOD(B69,12)=0),المدخلات!$J$17,IF(AND(المدخلات!$H$17="القسط (الدفعة) الاول",B69=1),المدخلات!$J$17,IF(المدخلات!$H$17="شهري",المدخلات!$J$17,""))),"")</f>
        <v/>
      </c>
      <c r="K69" s="169" t="str">
        <f>IF(B69&lt;&gt;"",IF(AND(المدخلات!$H$18="سنوي",MOD(B69,12)=0),المدخلات!$J$18,IF(AND(المدخلات!$H$18="القسط (الدفعة) الاول",B69=1),المدخلات!$J$18,IF(المدخلات!$H$18="شهري",المدخلات!$J$18,""))),"")</f>
        <v/>
      </c>
      <c r="L69" s="169">
        <f>IF(B69&lt;&gt;"",IF(AND(المدخلات!$H$19="سنوي",MOD(B69,12)=0),المدخلات!$J$19,IF(AND(المدخلات!$H$19="القسط (الدفعة) الاول",B69=1),المدخلات!$J$19,IF(المدخلات!$H$19="شهري",المدخلات!$J$19,IF(AND(المدخلات!$H$19="End of the loan",B69=المدخلات!$E$22),المدخلات!$J$19,"")))),"")</f>
        <v>0</v>
      </c>
      <c r="M69" s="169">
        <f t="shared" si="10"/>
        <v>0</v>
      </c>
      <c r="N69" s="170">
        <f t="shared" si="1"/>
        <v>361.15410980775312</v>
      </c>
      <c r="R69" s="9">
        <f t="shared" si="6"/>
        <v>46873</v>
      </c>
      <c r="S69" s="5">
        <f t="shared" si="7"/>
        <v>361.15</v>
      </c>
    </row>
    <row r="70" spans="2:19" x14ac:dyDescent="0.2">
      <c r="B70" s="167">
        <f t="shared" si="8"/>
        <v>53</v>
      </c>
      <c r="C70" s="168">
        <f t="shared" si="9"/>
        <v>46903</v>
      </c>
      <c r="D70" s="169">
        <f>IFERROR(IF(B70&lt;&gt;"",PPMT(المدخلات!$E$18/12,B70,$C$6,المدخلات!$E$17),"")," ")</f>
        <v>-353.54112841276725</v>
      </c>
      <c r="E70" s="169">
        <f>IFERROR(IPMT(المدخلات!$E$18/12,B70,$C$6,المدخلات!$E$17)," ")</f>
        <v>-7.6129813949858702</v>
      </c>
      <c r="F70" s="169">
        <f t="shared" si="11"/>
        <v>-17498.673105293063</v>
      </c>
      <c r="G70" s="169">
        <f t="shared" si="12"/>
        <v>-1642.4947145178478</v>
      </c>
      <c r="H70" s="169">
        <f t="shared" si="4"/>
        <v>-361.15410980775312</v>
      </c>
      <c r="I70" s="169">
        <f t="shared" si="13"/>
        <v>2501.32689470694</v>
      </c>
      <c r="J70" s="169" t="str">
        <f>IF(B70&lt;&gt;"",IF(AND(المدخلات!$H$17="سنوي",MOD(B70,12)=0),المدخلات!$J$17,IF(AND(المدخلات!$H$17="القسط (الدفعة) الاول",B70=1),المدخلات!$J$17,IF(المدخلات!$H$17="شهري",المدخلات!$J$17,""))),"")</f>
        <v/>
      </c>
      <c r="K70" s="169" t="str">
        <f>IF(B70&lt;&gt;"",IF(AND(المدخلات!$H$18="سنوي",MOD(B70,12)=0),المدخلات!$J$18,IF(AND(المدخلات!$H$18="القسط (الدفعة) الاول",B70=1),المدخلات!$J$18,IF(المدخلات!$H$18="شهري",المدخلات!$J$18,""))),"")</f>
        <v/>
      </c>
      <c r="L70" s="169">
        <f>IF(B70&lt;&gt;"",IF(AND(المدخلات!$H$19="سنوي",MOD(B70,12)=0),المدخلات!$J$19,IF(AND(المدخلات!$H$19="القسط (الدفعة) الاول",B70=1),المدخلات!$J$19,IF(المدخلات!$H$19="شهري",المدخلات!$J$19,IF(AND(المدخلات!$H$19="End of the loan",B70=المدخلات!$E$22),المدخلات!$J$19,"")))),"")</f>
        <v>0</v>
      </c>
      <c r="M70" s="169">
        <f t="shared" si="10"/>
        <v>0</v>
      </c>
      <c r="N70" s="170">
        <f t="shared" si="1"/>
        <v>361.15410980775312</v>
      </c>
      <c r="R70" s="9">
        <f t="shared" si="6"/>
        <v>46903</v>
      </c>
      <c r="S70" s="5">
        <f t="shared" si="7"/>
        <v>361.15</v>
      </c>
    </row>
    <row r="71" spans="2:19" x14ac:dyDescent="0.2">
      <c r="B71" s="167">
        <f t="shared" si="8"/>
        <v>54</v>
      </c>
      <c r="C71" s="168">
        <f t="shared" si="9"/>
        <v>46934</v>
      </c>
      <c r="D71" s="169">
        <f>IFERROR(IF(B71&lt;&gt;"",PPMT(المدخلات!$E$18/12,B71,$C$6,المدخلات!$E$17),"")," ")</f>
        <v>-354.48390475520125</v>
      </c>
      <c r="E71" s="169">
        <f>IFERROR(IPMT(المدخلات!$E$18/12,B71,$C$6,المدخلات!$E$17)," ")</f>
        <v>-6.6702050525518226</v>
      </c>
      <c r="F71" s="169">
        <f t="shared" si="11"/>
        <v>-17853.157010048264</v>
      </c>
      <c r="G71" s="169">
        <f t="shared" si="12"/>
        <v>-1649.1649195703997</v>
      </c>
      <c r="H71" s="169">
        <f t="shared" si="4"/>
        <v>-361.15410980775306</v>
      </c>
      <c r="I71" s="169">
        <f t="shared" si="13"/>
        <v>2146.8429899517387</v>
      </c>
      <c r="J71" s="169" t="str">
        <f>IF(B71&lt;&gt;"",IF(AND(المدخلات!$H$17="سنوي",MOD(B71,12)=0),المدخلات!$J$17,IF(AND(المدخلات!$H$17="القسط (الدفعة) الاول",B71=1),المدخلات!$J$17,IF(المدخلات!$H$17="شهري",المدخلات!$J$17,""))),"")</f>
        <v/>
      </c>
      <c r="K71" s="169" t="str">
        <f>IF(B71&lt;&gt;"",IF(AND(المدخلات!$H$18="سنوي",MOD(B71,12)=0),المدخلات!$J$18,IF(AND(المدخلات!$H$18="القسط (الدفعة) الاول",B71=1),المدخلات!$J$18,IF(المدخلات!$H$18="شهري",المدخلات!$J$18,""))),"")</f>
        <v/>
      </c>
      <c r="L71" s="169">
        <f>IF(B71&lt;&gt;"",IF(AND(المدخلات!$H$19="سنوي",MOD(B71,12)=0),المدخلات!$J$19,IF(AND(المدخلات!$H$19="القسط (الدفعة) الاول",B71=1),المدخلات!$J$19,IF(المدخلات!$H$19="شهري",المدخلات!$J$19,IF(AND(المدخلات!$H$19="End of the loan",B71=المدخلات!$E$22),المدخلات!$J$19,"")))),"")</f>
        <v>0</v>
      </c>
      <c r="M71" s="169">
        <f t="shared" si="10"/>
        <v>0</v>
      </c>
      <c r="N71" s="170">
        <f t="shared" si="1"/>
        <v>361.15410980775306</v>
      </c>
      <c r="R71" s="9">
        <f t="shared" si="6"/>
        <v>46934</v>
      </c>
      <c r="S71" s="5">
        <f t="shared" si="7"/>
        <v>361.15</v>
      </c>
    </row>
    <row r="72" spans="2:19" x14ac:dyDescent="0.2">
      <c r="B72" s="167">
        <f t="shared" si="8"/>
        <v>55</v>
      </c>
      <c r="C72" s="168">
        <f t="shared" si="9"/>
        <v>46964</v>
      </c>
      <c r="D72" s="169">
        <f>IFERROR(IF(B72&lt;&gt;"",PPMT(المدخلات!$E$18/12,B72,$C$6,المدخلات!$E$17),"")," ")</f>
        <v>-355.42919516788174</v>
      </c>
      <c r="E72" s="169">
        <f>IFERROR(IPMT(المدخلات!$E$18/12,B72,$C$6,المدخلات!$E$17)," ")</f>
        <v>-5.7249146398712885</v>
      </c>
      <c r="F72" s="169">
        <f t="shared" si="11"/>
        <v>-18208.586205216146</v>
      </c>
      <c r="G72" s="169">
        <f t="shared" si="12"/>
        <v>-1654.8898342102709</v>
      </c>
      <c r="H72" s="169">
        <f>IFERROR((D72+E72)," ")</f>
        <v>-361.15410980775306</v>
      </c>
      <c r="I72" s="169">
        <f t="shared" si="13"/>
        <v>1791.4137947838569</v>
      </c>
      <c r="J72" s="169" t="str">
        <f>IF(B72&lt;&gt;"",IF(AND(المدخلات!$H$17="سنوي",MOD(B72,12)=0),المدخلات!$J$17,IF(AND(المدخلات!$H$17="القسط (الدفعة) الاول",B72=1),المدخلات!$J$17,IF(المدخلات!$H$17="شهري",المدخلات!$J$17,""))),"")</f>
        <v/>
      </c>
      <c r="K72" s="169" t="str">
        <f>IF(B72&lt;&gt;"",IF(AND(المدخلات!$H$18="سنوي",MOD(B72,12)=0),المدخلات!$J$18,IF(AND(المدخلات!$H$18="القسط (الدفعة) الاول",B72=1),المدخلات!$J$18,IF(المدخلات!$H$18="شهري",المدخلات!$J$18,""))),"")</f>
        <v/>
      </c>
      <c r="L72" s="169">
        <f>IF(B72&lt;&gt;"",IF(AND(المدخلات!$H$19="سنوي",MOD(B72,12)=0),المدخلات!$J$19,IF(AND(المدخلات!$H$19="القسط (الدفعة) الاول",B72=1),المدخلات!$J$19,IF(المدخلات!$H$19="شهري",المدخلات!$J$19,IF(AND(المدخلات!$H$19="End of the loan",B72=المدخلات!$E$22),المدخلات!$J$19,"")))),"")</f>
        <v>0</v>
      </c>
      <c r="M72" s="169">
        <f t="shared" si="10"/>
        <v>0</v>
      </c>
      <c r="N72" s="170">
        <f t="shared" si="1"/>
        <v>361.15410980775306</v>
      </c>
      <c r="R72" s="9">
        <f t="shared" si="6"/>
        <v>46964</v>
      </c>
      <c r="S72" s="5">
        <f t="shared" si="7"/>
        <v>361.15</v>
      </c>
    </row>
    <row r="73" spans="2:19" x14ac:dyDescent="0.2">
      <c r="B73" s="167">
        <f t="shared" si="8"/>
        <v>56</v>
      </c>
      <c r="C73" s="168">
        <f t="shared" si="9"/>
        <v>46995</v>
      </c>
      <c r="D73" s="169">
        <f>IFERROR(IF(B73&lt;&gt;"",PPMT(المدخلات!$E$18/12,B73,$C$6,المدخلات!$E$17),"")," ")</f>
        <v>-356.37700635499613</v>
      </c>
      <c r="E73" s="169">
        <f>IFERROR(IPMT(المدخلات!$E$18/12,B73,$C$6,المدخلات!$E$17)," ")</f>
        <v>-4.7771034527569363</v>
      </c>
      <c r="F73" s="169">
        <f t="shared" si="11"/>
        <v>-18564.963211571143</v>
      </c>
      <c r="G73" s="169">
        <f t="shared" si="12"/>
        <v>-1659.666937663028</v>
      </c>
      <c r="H73" s="169">
        <f t="shared" si="4"/>
        <v>-361.15410980775306</v>
      </c>
      <c r="I73" s="169">
        <f t="shared" si="13"/>
        <v>1435.0367884288607</v>
      </c>
      <c r="J73" s="169" t="str">
        <f>IF(B73&lt;&gt;"",IF(AND(المدخلات!$H$17="سنوي",MOD(B73,12)=0),المدخلات!$J$17,IF(AND(المدخلات!$H$17="القسط (الدفعة) الاول",B73=1),المدخلات!$J$17,IF(المدخلات!$H$17="شهري",المدخلات!$J$17,""))),"")</f>
        <v/>
      </c>
      <c r="K73" s="169" t="str">
        <f>IF(B73&lt;&gt;"",IF(AND(المدخلات!$H$18="سنوي",MOD(B73,12)=0),المدخلات!$J$18,IF(AND(المدخلات!$H$18="القسط (الدفعة) الاول",B73=1),المدخلات!$J$18,IF(المدخلات!$H$18="شهري",المدخلات!$J$18,""))),"")</f>
        <v/>
      </c>
      <c r="L73" s="169">
        <f>IF(B73&lt;&gt;"",IF(AND(المدخلات!$H$19="سنوي",MOD(B73,12)=0),المدخلات!$J$19,IF(AND(المدخلات!$H$19="القسط (الدفعة) الاول",B73=1),المدخلات!$J$19,IF(المدخلات!$H$19="شهري",المدخلات!$J$19,IF(AND(المدخلات!$H$19="End of the loan",B73=المدخلات!$E$22),المدخلات!$J$19,"")))),"")</f>
        <v>0</v>
      </c>
      <c r="M73" s="169">
        <f t="shared" si="10"/>
        <v>0</v>
      </c>
      <c r="N73" s="170">
        <f t="shared" si="1"/>
        <v>361.15410980775306</v>
      </c>
      <c r="R73" s="9">
        <f t="shared" si="6"/>
        <v>46995</v>
      </c>
      <c r="S73" s="5">
        <f t="shared" si="7"/>
        <v>361.15</v>
      </c>
    </row>
    <row r="74" spans="2:19" x14ac:dyDescent="0.2">
      <c r="B74" s="167">
        <f t="shared" si="8"/>
        <v>57</v>
      </c>
      <c r="C74" s="168">
        <f t="shared" si="9"/>
        <v>47026</v>
      </c>
      <c r="D74" s="169">
        <f>IFERROR(IF(B74&lt;&gt;"",PPMT(المدخلات!$E$18/12,B74,$C$6,المدخلات!$E$17),"")," ")</f>
        <v>-357.32734503860951</v>
      </c>
      <c r="E74" s="169">
        <f>IFERROR(IPMT(المدخلات!$E$18/12,B74,$C$6,المدخلات!$E$17)," ")</f>
        <v>-3.826764769143614</v>
      </c>
      <c r="F74" s="169">
        <f t="shared" si="11"/>
        <v>-18922.290556609751</v>
      </c>
      <c r="G74" s="169">
        <f t="shared" si="12"/>
        <v>-1663.4937024321716</v>
      </c>
      <c r="H74" s="169">
        <f t="shared" si="4"/>
        <v>-361.15410980775312</v>
      </c>
      <c r="I74" s="169">
        <f t="shared" si="13"/>
        <v>1077.7094433902512</v>
      </c>
      <c r="J74" s="169" t="str">
        <f>IF(B74&lt;&gt;"",IF(AND(المدخلات!$H$17="سنوي",MOD(B74,12)=0),المدخلات!$J$17,IF(AND(المدخلات!$H$17="القسط (الدفعة) الاول",B74=1),المدخلات!$J$17,IF(المدخلات!$H$17="شهري",المدخلات!$J$17,""))),"")</f>
        <v/>
      </c>
      <c r="K74" s="169" t="str">
        <f>IF(B74&lt;&gt;"",IF(AND(المدخلات!$H$18="سنوي",MOD(B74,12)=0),المدخلات!$J$18,IF(AND(المدخلات!$H$18="القسط (الدفعة) الاول",B74=1),المدخلات!$J$18,IF(المدخلات!$H$18="شهري",المدخلات!$J$18,""))),"")</f>
        <v/>
      </c>
      <c r="L74" s="169">
        <f>IF(B74&lt;&gt;"",IF(AND(المدخلات!$H$19="سنوي",MOD(B74,12)=0),المدخلات!$J$19,IF(AND(المدخلات!$H$19="القسط (الدفعة) الاول",B74=1),المدخلات!$J$19,IF(المدخلات!$H$19="شهري",المدخلات!$J$19,IF(AND(المدخلات!$H$19="End of the loan",B74=المدخلات!$E$22),المدخلات!$J$19,"")))),"")</f>
        <v>0</v>
      </c>
      <c r="M74" s="169">
        <f t="shared" si="10"/>
        <v>0</v>
      </c>
      <c r="N74" s="170">
        <f t="shared" si="1"/>
        <v>361.15410980775312</v>
      </c>
      <c r="R74" s="9">
        <f t="shared" si="6"/>
        <v>47026</v>
      </c>
      <c r="S74" s="5">
        <f t="shared" si="7"/>
        <v>361.15</v>
      </c>
    </row>
    <row r="75" spans="2:19" x14ac:dyDescent="0.2">
      <c r="B75" s="167">
        <f t="shared" si="8"/>
        <v>58</v>
      </c>
      <c r="C75" s="168">
        <f t="shared" si="9"/>
        <v>47056</v>
      </c>
      <c r="D75" s="169">
        <f>IFERROR(IF(B75&lt;&gt;"",PPMT(المدخلات!$E$18/12,B75,$C$6,المدخلات!$E$17),"")," ")</f>
        <v>-358.2802179587124</v>
      </c>
      <c r="E75" s="169">
        <f>IFERROR(IPMT(المدخلات!$E$18/12,B75,$C$6,المدخلات!$E$17)," ")</f>
        <v>-2.8738918490406551</v>
      </c>
      <c r="F75" s="169">
        <f t="shared" si="11"/>
        <v>-19280.570774568463</v>
      </c>
      <c r="G75" s="169">
        <f t="shared" si="12"/>
        <v>-1666.3675942812122</v>
      </c>
      <c r="H75" s="169">
        <f t="shared" si="4"/>
        <v>-361.15410980775306</v>
      </c>
      <c r="I75" s="169">
        <f t="shared" si="13"/>
        <v>719.42922543153873</v>
      </c>
      <c r="J75" s="169" t="str">
        <f>IF(B75&lt;&gt;"",IF(AND(المدخلات!$H$17="سنوي",MOD(B75,12)=0),المدخلات!$J$17,IF(AND(المدخلات!$H$17="القسط (الدفعة) الاول",B75=1),المدخلات!$J$17,IF(المدخلات!$H$17="شهري",المدخلات!$J$17,""))),"")</f>
        <v/>
      </c>
      <c r="K75" s="169" t="str">
        <f>IF(B75&lt;&gt;"",IF(AND(المدخلات!$H$18="سنوي",MOD(B75,12)=0),المدخلات!$J$18,IF(AND(المدخلات!$H$18="القسط (الدفعة) الاول",B75=1),المدخلات!$J$18,IF(المدخلات!$H$18="شهري",المدخلات!$J$18,""))),"")</f>
        <v/>
      </c>
      <c r="L75" s="169">
        <f>IF(B75&lt;&gt;"",IF(AND(المدخلات!$H$19="سنوي",MOD(B75,12)=0),المدخلات!$J$19,IF(AND(المدخلات!$H$19="القسط (الدفعة) الاول",B75=1),المدخلات!$J$19,IF(المدخلات!$H$19="شهري",المدخلات!$J$19,IF(AND(المدخلات!$H$19="End of the loan",B75=المدخلات!$E$22),المدخلات!$J$19,"")))),"")</f>
        <v>0</v>
      </c>
      <c r="M75" s="169">
        <f t="shared" si="10"/>
        <v>0</v>
      </c>
      <c r="N75" s="170">
        <f t="shared" si="1"/>
        <v>361.15410980775306</v>
      </c>
      <c r="R75" s="9">
        <f t="shared" si="6"/>
        <v>47056</v>
      </c>
      <c r="S75" s="5">
        <f t="shared" si="7"/>
        <v>361.15</v>
      </c>
    </row>
    <row r="76" spans="2:19" x14ac:dyDescent="0.2">
      <c r="B76" s="167">
        <f t="shared" si="8"/>
        <v>59</v>
      </c>
      <c r="C76" s="168">
        <f t="shared" si="9"/>
        <v>47087</v>
      </c>
      <c r="D76" s="169">
        <f>IFERROR(IF(B76&lt;&gt;"",PPMT(المدخلات!$E$18/12,B76,$C$6,المدخلات!$E$17),"")," ")</f>
        <v>-359.23563187326903</v>
      </c>
      <c r="E76" s="169">
        <f>IFERROR(IPMT(المدخلات!$E$18/12,B76,$C$6,المدخلات!$E$17)," ")</f>
        <v>-1.9184779344840883</v>
      </c>
      <c r="F76" s="169">
        <f t="shared" si="11"/>
        <v>-19639.80640644173</v>
      </c>
      <c r="G76" s="169">
        <f t="shared" si="12"/>
        <v>-1668.2860722156963</v>
      </c>
      <c r="H76" s="169">
        <f t="shared" si="4"/>
        <v>-361.15410980775312</v>
      </c>
      <c r="I76" s="169">
        <f t="shared" si="13"/>
        <v>360.1935935582697</v>
      </c>
      <c r="J76" s="169" t="str">
        <f>IF(B76&lt;&gt;"",IF(AND(المدخلات!$H$17="سنوي",MOD(B76,12)=0),المدخلات!$J$17,IF(AND(المدخلات!$H$17="القسط (الدفعة) الاول",B76=1),المدخلات!$J$17,IF(المدخلات!$H$17="شهري",المدخلات!$J$17,""))),"")</f>
        <v/>
      </c>
      <c r="K76" s="169" t="str">
        <f>IF(B76&lt;&gt;"",IF(AND(المدخلات!$H$18="سنوي",MOD(B76,12)=0),المدخلات!$J$18,IF(AND(المدخلات!$H$18="القسط (الدفعة) الاول",B76=1),المدخلات!$J$18,IF(المدخلات!$H$18="شهري",المدخلات!$J$18,""))),"")</f>
        <v/>
      </c>
      <c r="L76" s="169">
        <f>IF(B76&lt;&gt;"",IF(AND(المدخلات!$H$19="سنوي",MOD(B76,12)=0),المدخلات!$J$19,IF(AND(المدخلات!$H$19="القسط (الدفعة) الاول",B76=1),المدخلات!$J$19,IF(المدخلات!$H$19="شهري",المدخلات!$J$19,IF(AND(المدخلات!$H$19="End of the loan",B76=المدخلات!$E$22),المدخلات!$J$19,"")))),"")</f>
        <v>0</v>
      </c>
      <c r="M76" s="169">
        <f t="shared" si="10"/>
        <v>0</v>
      </c>
      <c r="N76" s="170">
        <f t="shared" si="1"/>
        <v>361.15410980775312</v>
      </c>
      <c r="R76" s="9">
        <f t="shared" si="6"/>
        <v>47087</v>
      </c>
      <c r="S76" s="5">
        <f t="shared" si="7"/>
        <v>361.15</v>
      </c>
    </row>
    <row r="77" spans="2:19" x14ac:dyDescent="0.2">
      <c r="B77" s="167">
        <f t="shared" si="8"/>
        <v>60</v>
      </c>
      <c r="C77" s="168">
        <f t="shared" si="9"/>
        <v>47117</v>
      </c>
      <c r="D77" s="169">
        <f>IFERROR(IF(B77&lt;&gt;"",PPMT(المدخلات!$E$18/12,B77,$C$6,المدخلات!$E$17),"")," ")</f>
        <v>-360.19359355826435</v>
      </c>
      <c r="E77" s="169">
        <f>IFERROR(IPMT(المدخلات!$E$18/12,B77,$C$6,المدخلات!$E$17)," ")</f>
        <v>-0.96051624948870495</v>
      </c>
      <c r="F77" s="169">
        <f t="shared" si="11"/>
        <v>-19999.999999999996</v>
      </c>
      <c r="G77" s="169">
        <f t="shared" si="12"/>
        <v>-1669.2465884651849</v>
      </c>
      <c r="H77" s="169">
        <f t="shared" si="4"/>
        <v>-361.15410980775306</v>
      </c>
      <c r="I77" s="169">
        <f t="shared" si="13"/>
        <v>5.3432813729159534E-12</v>
      </c>
      <c r="J77" s="169" t="str">
        <f>IF(B77&lt;&gt;"",IF(AND(المدخلات!$H$17="سنوي",MOD(B77,12)=0),المدخلات!$J$17,IF(AND(المدخلات!$H$17="القسط (الدفعة) الاول",B77=1),المدخلات!$J$17,IF(المدخلات!$H$17="شهري",المدخلات!$J$17,""))),"")</f>
        <v/>
      </c>
      <c r="K77" s="169">
        <f>IF(B77&lt;&gt;"",IF(AND(المدخلات!$H$18="سنوي",MOD(B77,12)=0),المدخلات!$J$18,IF(AND(المدخلات!$H$18="القسط (الدفعة) الاول",B77=1),المدخلات!$J$18,IF(المدخلات!$H$18="شهري",المدخلات!$J$18,""))),"")</f>
        <v>0</v>
      </c>
      <c r="L77" s="169">
        <f>IF(B77&lt;&gt;"",IF(AND(المدخلات!$H$19="سنوي",MOD(B77,12)=0),المدخلات!$J$19,IF(AND(المدخلات!$H$19="القسط (الدفعة) الاول",B77=1),المدخلات!$J$19,IF(المدخلات!$H$19="شهري",المدخلات!$J$19,IF(AND(المدخلات!$H$19="End of the loan",B77=المدخلات!$E$22),المدخلات!$J$19,"")))),"")</f>
        <v>0</v>
      </c>
      <c r="M77" s="169">
        <f t="shared" si="10"/>
        <v>0</v>
      </c>
      <c r="N77" s="170">
        <f t="shared" si="1"/>
        <v>361.15410980775306</v>
      </c>
      <c r="R77" s="9">
        <f t="shared" si="6"/>
        <v>47117</v>
      </c>
      <c r="S77" s="5">
        <f t="shared" si="7"/>
        <v>361.15</v>
      </c>
    </row>
    <row r="78" spans="2:19" x14ac:dyDescent="0.2">
      <c r="B78" s="188"/>
      <c r="C78" s="189"/>
      <c r="D78" s="190"/>
      <c r="E78" s="190"/>
      <c r="F78" s="190"/>
      <c r="G78" s="190"/>
      <c r="H78" s="190"/>
      <c r="I78" s="190"/>
      <c r="J78" s="190"/>
      <c r="K78" s="190"/>
      <c r="L78" s="190"/>
      <c r="M78" s="190"/>
      <c r="N78" s="191"/>
      <c r="O78" s="11"/>
      <c r="P78" s="11"/>
      <c r="Q78" s="11"/>
      <c r="R78" s="181"/>
      <c r="S78" s="184"/>
    </row>
    <row r="79" spans="2:19" x14ac:dyDescent="0.2">
      <c r="B79" s="192"/>
      <c r="C79" s="193"/>
      <c r="D79" s="194"/>
      <c r="E79" s="194"/>
      <c r="F79" s="194"/>
      <c r="G79" s="194"/>
      <c r="H79" s="194"/>
      <c r="I79" s="194"/>
      <c r="J79" s="194"/>
      <c r="K79" s="194"/>
      <c r="L79" s="194"/>
      <c r="M79" s="194"/>
      <c r="N79" s="195"/>
      <c r="O79" s="11"/>
      <c r="P79" s="11"/>
      <c r="Q79" s="11"/>
      <c r="R79" s="62"/>
      <c r="S79" s="187"/>
    </row>
    <row r="80" spans="2:19" x14ac:dyDescent="0.2">
      <c r="B80" s="192"/>
      <c r="C80" s="193"/>
      <c r="D80" s="194"/>
      <c r="E80" s="194"/>
      <c r="F80" s="194"/>
      <c r="G80" s="194"/>
      <c r="H80" s="194"/>
      <c r="I80" s="194"/>
      <c r="J80" s="194"/>
      <c r="K80" s="194"/>
      <c r="L80" s="194"/>
      <c r="M80" s="194"/>
      <c r="N80" s="195"/>
      <c r="O80" s="11"/>
      <c r="P80" s="11"/>
      <c r="Q80" s="11"/>
      <c r="R80" s="62"/>
      <c r="S80" s="187"/>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00"/>
  </sheetPr>
  <dimension ref="A1:X89"/>
  <sheetViews>
    <sheetView showGridLines="0" rightToLeft="1" topLeftCell="B1" zoomScaleNormal="100" workbookViewId="0">
      <selection activeCell="B20" sqref="B20"/>
    </sheetView>
  </sheetViews>
  <sheetFormatPr defaultColWidth="8.88671875" defaultRowHeight="11.4" x14ac:dyDescent="0.2"/>
  <cols>
    <col min="1" max="1" width="0" style="1" hidden="1" customWidth="1"/>
    <col min="2" max="7" width="24.44140625" style="1" customWidth="1"/>
    <col min="8" max="8" width="29.109375" style="1" bestFit="1" customWidth="1"/>
    <col min="9" max="14" width="24.44140625" style="1" customWidth="1"/>
    <col min="15" max="15" width="17.44140625" style="1" bestFit="1" customWidth="1"/>
    <col min="16" max="16" width="11" style="1" bestFit="1" customWidth="1"/>
    <col min="17" max="17" width="12" style="1" bestFit="1" customWidth="1"/>
    <col min="18" max="18" width="8.88671875" style="1"/>
    <col min="19" max="19" width="10.44140625" style="1" bestFit="1" customWidth="1"/>
    <col min="20" max="20" width="11.5546875" style="1" bestFit="1" customWidth="1"/>
    <col min="21" max="23" width="8.88671875" style="1" customWidth="1"/>
    <col min="24" max="16384" width="8.88671875" style="1"/>
  </cols>
  <sheetData>
    <row r="1" spans="2:24" x14ac:dyDescent="0.2">
      <c r="V1" s="198">
        <f>ROW(S17)</f>
        <v>17</v>
      </c>
      <c r="W1" s="198">
        <f>ROW(T17)</f>
        <v>17</v>
      </c>
    </row>
    <row r="2" spans="2:24" ht="17.100000000000001" customHeight="1" x14ac:dyDescent="0.2">
      <c r="B2" s="217" t="s">
        <v>19</v>
      </c>
      <c r="C2" s="217"/>
      <c r="D2" s="217"/>
      <c r="E2" s="217"/>
      <c r="F2" s="217"/>
      <c r="G2" s="217"/>
      <c r="H2" s="217"/>
      <c r="I2" s="217"/>
      <c r="J2" s="217"/>
      <c r="K2" s="217"/>
      <c r="L2" s="217"/>
      <c r="M2" s="217"/>
      <c r="N2" s="217"/>
      <c r="O2" s="217"/>
      <c r="V2" s="198">
        <f>COLUMN(S17)</f>
        <v>19</v>
      </c>
      <c r="W2" s="198">
        <f>COLUMN(T17)</f>
        <v>20</v>
      </c>
    </row>
    <row r="3" spans="2:24" x14ac:dyDescent="0.2">
      <c r="V3" s="198"/>
      <c r="W3" s="199">
        <f>COUNTIF(S17:S81,"&gt;0")-1</f>
        <v>60</v>
      </c>
    </row>
    <row r="4" spans="2:24" x14ac:dyDescent="0.2">
      <c r="B4" s="215" t="s">
        <v>20</v>
      </c>
      <c r="C4" s="215"/>
      <c r="D4" s="215"/>
      <c r="E4" s="215"/>
      <c r="F4" s="215"/>
    </row>
    <row r="6" spans="2:24" x14ac:dyDescent="0.2">
      <c r="B6" s="163" t="s">
        <v>13</v>
      </c>
      <c r="C6" s="163">
        <f>المدخلات!E39</f>
        <v>60</v>
      </c>
      <c r="E6" s="17" t="s">
        <v>18</v>
      </c>
      <c r="F6" s="14">
        <f ca="1">XIRR(T17:INDIRECT(ADDRESS($W$1+$W$3,$W$2)),S17:INDIRECT(ADDRESS($V$1+$W$3,$V$2)))</f>
        <v>9.6677023172378557E-2</v>
      </c>
    </row>
    <row r="7" spans="2:24" x14ac:dyDescent="0.2">
      <c r="B7" s="164"/>
      <c r="C7" s="164"/>
    </row>
    <row r="8" spans="2:24" x14ac:dyDescent="0.2">
      <c r="B8" s="163" t="s">
        <v>23</v>
      </c>
      <c r="C8" s="165">
        <f>المدخلات!E34</f>
        <v>300000</v>
      </c>
    </row>
    <row r="9" spans="2:24" x14ac:dyDescent="0.2">
      <c r="B9" s="163" t="s">
        <v>126</v>
      </c>
      <c r="C9" s="165">
        <f>-SUM(E18:E82)</f>
        <v>47444.993100996333</v>
      </c>
      <c r="D9" s="8"/>
      <c r="T9" s="101"/>
      <c r="X9" s="15"/>
    </row>
    <row r="10" spans="2:24" x14ac:dyDescent="0.2">
      <c r="B10" s="163" t="s">
        <v>24</v>
      </c>
      <c r="C10" s="165">
        <f>SUM($N$17:$N$82)</f>
        <v>36120</v>
      </c>
      <c r="F10" s="98"/>
      <c r="X10" s="7"/>
    </row>
    <row r="11" spans="2:24" x14ac:dyDescent="0.2">
      <c r="B11" s="163" t="s">
        <v>25</v>
      </c>
      <c r="C11" s="166">
        <f>EDATE(المدخلات!E42,C6)</f>
        <v>47148</v>
      </c>
      <c r="X11" s="8"/>
    </row>
    <row r="12" spans="2:24" x14ac:dyDescent="0.2">
      <c r="B12" s="164"/>
      <c r="C12" s="164"/>
    </row>
    <row r="13" spans="2:24" x14ac:dyDescent="0.2">
      <c r="B13" s="163" t="s">
        <v>72</v>
      </c>
      <c r="C13" s="171">
        <f>المدخلات!E46</f>
        <v>50000</v>
      </c>
      <c r="H13" s="64"/>
      <c r="I13" s="2"/>
      <c r="P13" s="15"/>
    </row>
    <row r="14" spans="2:24" x14ac:dyDescent="0.2">
      <c r="F14" s="12"/>
      <c r="H14" s="64"/>
      <c r="P14" s="7"/>
      <c r="Q14" s="8"/>
      <c r="R14" s="8"/>
    </row>
    <row r="15" spans="2:24" x14ac:dyDescent="0.2">
      <c r="H15" s="218"/>
      <c r="I15" s="218"/>
      <c r="N15" s="12"/>
      <c r="S15" s="216" t="s">
        <v>28</v>
      </c>
      <c r="T15" s="216"/>
    </row>
    <row r="16" spans="2:24" x14ac:dyDescent="0.2">
      <c r="B16" s="13" t="s">
        <v>21</v>
      </c>
      <c r="C16" s="13" t="s">
        <v>22</v>
      </c>
      <c r="D16" s="13" t="s">
        <v>78</v>
      </c>
      <c r="E16" s="13" t="s">
        <v>128</v>
      </c>
      <c r="F16" s="13" t="s">
        <v>37</v>
      </c>
      <c r="G16" s="13" t="s">
        <v>120</v>
      </c>
      <c r="H16" s="13" t="s">
        <v>95</v>
      </c>
      <c r="I16" s="13" t="s">
        <v>79</v>
      </c>
      <c r="J16" s="13" t="s">
        <v>9</v>
      </c>
      <c r="K16" s="13" t="s">
        <v>10</v>
      </c>
      <c r="L16" s="13" t="s">
        <v>29</v>
      </c>
      <c r="M16" s="13" t="s">
        <v>8</v>
      </c>
      <c r="N16" s="13" t="s">
        <v>81</v>
      </c>
      <c r="O16" s="13" t="s">
        <v>82</v>
      </c>
      <c r="S16" s="13" t="s">
        <v>26</v>
      </c>
      <c r="T16" s="13" t="s">
        <v>27</v>
      </c>
    </row>
    <row r="17" spans="1:24" x14ac:dyDescent="0.2">
      <c r="B17" s="16">
        <v>0</v>
      </c>
      <c r="C17" s="9">
        <f>المدخلات!E40</f>
        <v>45292</v>
      </c>
      <c r="D17" s="6">
        <v>0</v>
      </c>
      <c r="E17" s="6">
        <v>0</v>
      </c>
      <c r="F17" s="6">
        <v>0</v>
      </c>
      <c r="G17" s="6">
        <v>0</v>
      </c>
      <c r="H17" s="6">
        <v>0</v>
      </c>
      <c r="I17" s="6">
        <v>0</v>
      </c>
      <c r="J17" s="6">
        <f>IF(AND(المدخلات!$H$34="دفعة مقدمة",B17=0),المدخلات!$J$34,"")</f>
        <v>3000</v>
      </c>
      <c r="K17" s="6" t="str">
        <f>IF(AND(المدخلات!$H$35="دفعة مقدمة",B17=0),المدخلات!$J$35,"")</f>
        <v/>
      </c>
      <c r="L17" s="6" t="str">
        <f>IF(AND(المدخلات!$H$36="دفعة مقدمة",B17=0),المدخلات!$I$36,"")</f>
        <v/>
      </c>
      <c r="M17" s="6" t="str">
        <f>IF(AND(المدخلات!$H$37="دفعة مقدمة",B17=0),المدخلات!$J$37,"")</f>
        <v/>
      </c>
      <c r="N17" s="6">
        <f t="shared" ref="N17:N48" si="0">IF(B17&lt;&gt;"",SUM(J17:M17),"")</f>
        <v>3000</v>
      </c>
      <c r="O17" s="6">
        <f>IF(B17&lt;&gt;"",SUM(J17:M17)+H17,"")</f>
        <v>3000</v>
      </c>
      <c r="S17" s="9">
        <f>C17</f>
        <v>45292</v>
      </c>
      <c r="T17" s="5">
        <f>-(C8-O17)</f>
        <v>-297000</v>
      </c>
      <c r="U17" s="123"/>
      <c r="V17" s="96"/>
      <c r="W17" s="95"/>
      <c r="X17" s="8"/>
    </row>
    <row r="18" spans="1:24" x14ac:dyDescent="0.2">
      <c r="A18" s="1">
        <f>IF(B18&lt;&gt;"",1,"")</f>
        <v>1</v>
      </c>
      <c r="B18" s="16">
        <v>1</v>
      </c>
      <c r="C18" s="9">
        <f>المدخلات!E42</f>
        <v>45321</v>
      </c>
      <c r="D18" s="6">
        <f>IFERROR((PPMT(المدخلات!$E$35/12,B18,$C$6,المدخلات!$E$34,-$C$13,0))," ")</f>
        <v>-3657.4165516832722</v>
      </c>
      <c r="E18" s="6">
        <f>IFERROR(IPMT(المدخلات!$E$35/12,B18,$C$6,المدخلات!$E$34,-$C$13,0)," ")</f>
        <v>-1300</v>
      </c>
      <c r="F18" s="6">
        <f>D18</f>
        <v>-3657.4165516832722</v>
      </c>
      <c r="G18" s="6">
        <f>E18</f>
        <v>-1300</v>
      </c>
      <c r="H18" s="6">
        <f>(IF(B18=$C$6,(-$C$13+IFERROR(D18+E18,"")),IFERROR(D18+E18,"")))</f>
        <v>-4957.4165516832727</v>
      </c>
      <c r="I18" s="6">
        <f>+IFERROR($C$8+F18,"")</f>
        <v>296342.58344831673</v>
      </c>
      <c r="J18" s="6" t="str">
        <f>IF(B18&lt;&gt;"",IF(AND(المدخلات!$H$34="سنوي",MOD(B18,12)=0),المدخلات!$J$34,IF(AND(المدخلات!$H$34="القسط (الدفعة) الاول",B18=1),المدخلات!$J$34,IF(المدخلات!$H$34="شهري",المدخلات!$J$34,""))),"")</f>
        <v/>
      </c>
      <c r="K18" s="6" t="str">
        <f>IF(B18&lt;&gt;"",IF(AND(المدخلات!$H$35="سنوي",MOD(B18,12)=0),المدخلات!$J$35,IF(AND(المدخلات!$H$35="القسط (الدفعة) الاول",B18=1),المدخلات!$J$35,IF(المدخلات!$H$35="شهري",المدخلات!$J$35,""))),"")</f>
        <v/>
      </c>
      <c r="L18" s="6">
        <f>IF(B18&lt;=$C$6,(_xlfn.IFNA(IF(AND(المدخلات!$H$36="القسط (الدفعة) الاول",B18=1),المدخلات!$I$36,IF(المدخلات!$H$36="شهري",VLOOKUP(A18,المدخلات!$G$41:$L$46,6,0),IF(المدخلات!$H$36="سنوي",VLOOKUP('التمويل التأجيري'!B18,المدخلات!$K$41:$L$46,2,0),""))),""))," ")</f>
        <v>920</v>
      </c>
      <c r="M18" s="6">
        <f>IF(B18&lt;&gt;"",IF(AND(المدخلات!$H$37="سنوي",MOD(B18,12)=0),المدخلات!$J$37,IF(AND(المدخلات!$H$37="القسط (الدفعة) الاول",B18=1),المدخلات!$J$37,IF(المدخلات!$H$37="شهري",المدخلات!$J$37,IF(AND(المدخلات!$H$37="End of the loan",B18=المدخلات!$E$39),المدخلات!$J$37,"")))),"")</f>
        <v>0</v>
      </c>
      <c r="N18" s="6">
        <f t="shared" si="0"/>
        <v>920</v>
      </c>
      <c r="O18" s="4">
        <f t="shared" ref="O18:O77" si="1">IF(B18&lt;&gt;"",(-H18+N18),"")</f>
        <v>5877.4165516832727</v>
      </c>
      <c r="S18" s="9">
        <f t="shared" ref="S18:S73" si="2">C18</f>
        <v>45321</v>
      </c>
      <c r="T18" s="5">
        <f>IFERROR(ROUND((_xlfn.IFNA(VLOOKUP(S18,$C$18:$O$82,13,0),0)),2)," ")</f>
        <v>5877.42</v>
      </c>
      <c r="U18" s="123"/>
      <c r="V18" s="97"/>
      <c r="W18" s="89"/>
    </row>
    <row r="19" spans="1:24" x14ac:dyDescent="0.2">
      <c r="A19" s="1">
        <f t="shared" ref="A19:A29" si="3">IF(B19&lt;&gt;"",1,"")</f>
        <v>1</v>
      </c>
      <c r="B19" s="16">
        <f>IF(B18="","",IF((B18+1)&lt;=$C$6,B18+1,""))</f>
        <v>2</v>
      </c>
      <c r="C19" s="9">
        <f>IF(B19="","",EDATE($C$18,(B19-1)))</f>
        <v>45351</v>
      </c>
      <c r="D19" s="6">
        <f>IFERROR(PPMT(المدخلات!$E$35/12,B19,$C$6,المدخلات!$E$34,-$C$13,0)," ")</f>
        <v>-3673.2653567405659</v>
      </c>
      <c r="E19" s="6">
        <f>IFERROR(IPMT(المدخلات!$E$35/12,B19,$C$6,المدخلات!$E$34,-$C$13,0)," ")</f>
        <v>-1284.1511949427056</v>
      </c>
      <c r="F19" s="6">
        <f>IF(B19&lt;=$C$6,F18+D19,"")</f>
        <v>-7330.6819084238377</v>
      </c>
      <c r="G19" s="6">
        <f>IF(B19&lt;=$C$6,G18+E19,"")</f>
        <v>-2584.1511949427058</v>
      </c>
      <c r="H19" s="6">
        <f t="shared" ref="H19:H77" si="4">(IF(B19=$C$6,(-$C$13+IFERROR(D19+E19,"")),IFERROR(D19+E19,"")))</f>
        <v>-4957.4165516832718</v>
      </c>
      <c r="I19" s="6">
        <f t="shared" ref="I19:I73" si="5">+IFERROR($C$8+F19,"")</f>
        <v>292669.31809157616</v>
      </c>
      <c r="J19" s="6" t="str">
        <f>IF(B19&lt;&gt;"",IF(AND(المدخلات!$H$34="سنوي",MOD(B19,12)=0),المدخلات!$J$34,IF(AND(المدخلات!$H$34="القسط (الدفعة) الاول",B19=1),المدخلات!$J$34,IF(المدخلات!$H$34="شهري",المدخلات!$J$34,""))),"")</f>
        <v/>
      </c>
      <c r="K19" s="6" t="str">
        <f>IF(B19&lt;&gt;"",IF(AND(المدخلات!$H$35="سنوي",MOD(B19,12)=0),المدخلات!$J$35,IF(AND(المدخلات!$H$35="القسط (الدفعة) الاول",B19=1),المدخلات!$J$35,IF(المدخلات!$H$35="شهري",المدخلات!$J$35,""))),"")</f>
        <v/>
      </c>
      <c r="L19" s="6">
        <f>IF(B19&lt;=$C$6,(_xlfn.IFNA(IF(AND(المدخلات!$H$36="القسط (الدفعة) الاول",B19=1),المدخلات!$I$36,IF(المدخلات!$H$36="شهري",VLOOKUP(A19,المدخلات!$G$41:$L$46,6,0),IF(المدخلات!$H$36="سنوي",VLOOKUP('التمويل التأجيري'!B19,المدخلات!$K$41:$L$46,2,0),""))),""))," ")</f>
        <v>920</v>
      </c>
      <c r="M19" s="6" t="str">
        <f>IF(B19&lt;&gt;"",IF(AND(المدخلات!$H$37="سنوي",MOD(B19,12)=0),المدخلات!$J$37,IF(AND(المدخلات!$H$37="القسط (الدفعة) الاول",B19=1),المدخلات!$J$37,IF(المدخلات!$H$37="شهري",المدخلات!$J$37,IF(AND(المدخلات!$H$37="End of the loan",B19=المدخلات!$E$39),المدخلات!$J$37,"")))),"")</f>
        <v/>
      </c>
      <c r="N19" s="6">
        <f t="shared" si="0"/>
        <v>920</v>
      </c>
      <c r="O19" s="4">
        <f t="shared" si="1"/>
        <v>5877.4165516832718</v>
      </c>
      <c r="S19" s="9">
        <f t="shared" si="2"/>
        <v>45351</v>
      </c>
      <c r="T19" s="5">
        <f t="shared" ref="T19:T77" si="6">IFERROR(ROUND((_xlfn.IFNA(VLOOKUP(S19,$C$18:$O$82,13,0),0)),2)," ")</f>
        <v>5877.42</v>
      </c>
      <c r="U19" s="123"/>
      <c r="V19" s="97"/>
      <c r="W19" s="89"/>
    </row>
    <row r="20" spans="1:24" x14ac:dyDescent="0.2">
      <c r="A20" s="1">
        <f t="shared" si="3"/>
        <v>1</v>
      </c>
      <c r="B20" s="16">
        <f t="shared" ref="B20:B77" si="7">IF(B19="","",IF((B19+1)&lt;=$C$6,B19+1,""))</f>
        <v>3</v>
      </c>
      <c r="C20" s="9">
        <f t="shared" ref="C20:C77" si="8">IF(B20="","",EDATE($C$18,(B20-1)))</f>
        <v>45381</v>
      </c>
      <c r="D20" s="6">
        <f>IFERROR(PPMT(المدخلات!$E$35/12,B20,$C$6,المدخلات!$E$34,-$C$13,0)," ")</f>
        <v>-3689.1828399531087</v>
      </c>
      <c r="E20" s="6">
        <f>IFERROR(IPMT(المدخلات!$E$35/12,B20,$C$6,المدخلات!$E$34,-$C$13,0),"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IF(B20&lt;&gt;"",IF(AND(المدخلات!$H$34="سنوي",MOD(B20,12)=0),المدخلات!$J$34,IF(AND(المدخلات!$H$34="القسط (الدفعة) الاول",B20=1),المدخلات!$J$34,IF(المدخلات!$H$34="شهري",المدخلات!$J$34,""))),"")</f>
        <v/>
      </c>
      <c r="K20" s="6" t="str">
        <f>IF(B20&lt;&gt;"",IF(AND(المدخلات!$H$35="سنوي",MOD(B20,12)=0),المدخلات!$J$35,IF(AND(المدخلات!$H$35="القسط (الدفعة) الاول",B20=1),المدخلات!$J$35,IF(المدخلات!$H$35="شهري",المدخلات!$J$35,""))),"")</f>
        <v/>
      </c>
      <c r="L20" s="6">
        <f>IF(B20&lt;=$C$6,(_xlfn.IFNA(IF(AND(المدخلات!$H$36="القسط (الدفعة) الاول",B20=1),المدخلات!$I$36,IF(المدخلات!$H$36="شهري",VLOOKUP(A20,المدخلات!$G$41:$L$46,6,0),IF(المدخلات!$H$36="سنوي",VLOOKUP('التمويل التأجيري'!B20,المدخلات!$K$41:$L$46,2,0),""))),""))," ")</f>
        <v>920</v>
      </c>
      <c r="M20" s="6" t="str">
        <f>IF(B20&lt;&gt;"",IF(AND(المدخلات!$H$37="سنوي",MOD(B20,12)=0),المدخلات!$J$37,IF(AND(المدخلات!$H$37="القسط (الدفعة) الاول",B20=1),المدخلات!$J$37,IF(المدخلات!$H$37="شهري",المدخلات!$J$37,IF(AND(المدخلات!$H$37="End of the loan",B20=المدخلات!$E$39),المدخلات!$J$37,"")))),"")</f>
        <v/>
      </c>
      <c r="N20" s="6">
        <f t="shared" si="0"/>
        <v>920</v>
      </c>
      <c r="O20" s="4">
        <f t="shared" si="1"/>
        <v>5877.4165516832718</v>
      </c>
      <c r="S20" s="9">
        <f t="shared" si="2"/>
        <v>45381</v>
      </c>
      <c r="T20" s="5">
        <f t="shared" si="6"/>
        <v>5877.42</v>
      </c>
      <c r="U20" s="123"/>
      <c r="V20" s="97"/>
      <c r="W20" s="89"/>
    </row>
    <row r="21" spans="1:24" x14ac:dyDescent="0.2">
      <c r="A21" s="1">
        <f t="shared" si="3"/>
        <v>1</v>
      </c>
      <c r="B21" s="16">
        <f t="shared" si="7"/>
        <v>4</v>
      </c>
      <c r="C21" s="9">
        <f t="shared" si="8"/>
        <v>45412</v>
      </c>
      <c r="D21" s="6">
        <f>IFERROR(PPMT(المدخلات!$E$35/12,B21,$C$6,المدخلات!$E$34,-$C$13,0)," ")</f>
        <v>-3705.1692989262383</v>
      </c>
      <c r="E21" s="6">
        <f>IFERROR(IPMT(المدخلات!$E$35/12,B21,$C$6,المدخلات!$E$34,-$C$13,0)," ")</f>
        <v>-1252.247252757033</v>
      </c>
      <c r="F21" s="6">
        <f t="shared" si="9"/>
        <v>-14725.034047303183</v>
      </c>
      <c r="G21" s="6">
        <f t="shared" si="10"/>
        <v>-5104.6321594299025</v>
      </c>
      <c r="H21" s="6">
        <f t="shared" si="4"/>
        <v>-4957.4165516832709</v>
      </c>
      <c r="I21" s="6">
        <f t="shared" si="5"/>
        <v>285274.9659526968</v>
      </c>
      <c r="J21" s="6" t="str">
        <f>IF(B21&lt;&gt;"",IF(AND(المدخلات!$H$34="سنوي",MOD(B21,12)=0),المدخلات!$J$34,IF(AND(المدخلات!$H$34="القسط (الدفعة) الاول",B21=1),المدخلات!$J$34,IF(المدخلات!$H$34="شهري",المدخلات!$J$34,""))),"")</f>
        <v/>
      </c>
      <c r="K21" s="6" t="str">
        <f>IF(B21&lt;&gt;"",IF(AND(المدخلات!$H$35="سنوي",MOD(B21,12)=0),المدخلات!$J$35,IF(AND(المدخلات!$H$35="القسط (الدفعة) الاول",B21=1),المدخلات!$J$35,IF(المدخلات!$H$35="شهري",المدخلات!$J$35,""))),"")</f>
        <v/>
      </c>
      <c r="L21" s="6">
        <f>IF(B21&lt;=$C$6,(_xlfn.IFNA(IF(AND(المدخلات!$H$36="القسط (الدفعة) الاول",B21=1),المدخلات!$I$36,IF(المدخلات!$H$36="شهري",VLOOKUP(A21,المدخلات!$G$41:$L$46,6,0),IF(المدخلات!$H$36="سنوي",VLOOKUP('التمويل التأجيري'!B21,المدخلات!$K$41:$L$46,2,0),""))),""))," ")</f>
        <v>920</v>
      </c>
      <c r="M21" s="6" t="str">
        <f>IF(B21&lt;&gt;"",IF(AND(المدخلات!$H$37="سنوي",MOD(B21,12)=0),المدخلات!$J$37,IF(AND(المدخلات!$H$37="القسط (الدفعة) الاول",B21=1),المدخلات!$J$37,IF(المدخلات!$H$37="شهري",المدخلات!$J$37,IF(AND(المدخلات!$H$37="End of the loan",B21=المدخلات!$E$39),المدخلات!$J$37,"")))),"")</f>
        <v/>
      </c>
      <c r="N21" s="6">
        <f t="shared" si="0"/>
        <v>920</v>
      </c>
      <c r="O21" s="4">
        <f t="shared" si="1"/>
        <v>5877.4165516832709</v>
      </c>
      <c r="S21" s="9">
        <f t="shared" si="2"/>
        <v>45412</v>
      </c>
      <c r="T21" s="5">
        <f t="shared" si="6"/>
        <v>5877.42</v>
      </c>
      <c r="U21" s="123"/>
      <c r="V21" s="97"/>
      <c r="W21" s="89"/>
    </row>
    <row r="22" spans="1:24" x14ac:dyDescent="0.2">
      <c r="A22" s="1">
        <f t="shared" si="3"/>
        <v>1</v>
      </c>
      <c r="B22" s="16">
        <f t="shared" si="7"/>
        <v>5</v>
      </c>
      <c r="C22" s="9">
        <f t="shared" si="8"/>
        <v>45442</v>
      </c>
      <c r="D22" s="6">
        <f>IFERROR(PPMT(المدخلات!$E$35/12,B22,$C$6,المدخلات!$E$34,-$C$13,0)," ")</f>
        <v>-3721.2250325549194</v>
      </c>
      <c r="E22" s="6">
        <f>IFERROR(IPMT(المدخلات!$E$35/12,B22,$C$6,المدخلات!$E$34,-$C$13,0)," ")</f>
        <v>-1236.1915191283524</v>
      </c>
      <c r="F22" s="6">
        <f t="shared" si="9"/>
        <v>-18446.2590798581</v>
      </c>
      <c r="G22" s="6">
        <f t="shared" si="10"/>
        <v>-6340.8236785582549</v>
      </c>
      <c r="H22" s="6">
        <f t="shared" si="4"/>
        <v>-4957.4165516832718</v>
      </c>
      <c r="I22" s="6">
        <f t="shared" si="5"/>
        <v>281553.74092014192</v>
      </c>
      <c r="J22" s="6" t="str">
        <f>IF(B22&lt;&gt;"",IF(AND(المدخلات!$H$34="سنوي",MOD(B22,12)=0),المدخلات!$J$34,IF(AND(المدخلات!$H$34="القسط (الدفعة) الاول",B22=1),المدخلات!$J$34,IF(المدخلات!$H$34="شهري",المدخلات!$J$34,""))),"")</f>
        <v/>
      </c>
      <c r="K22" s="6" t="str">
        <f>IF(B22&lt;&gt;"",IF(AND(المدخلات!$H$35="سنوي",MOD(B22,12)=0),المدخلات!$J$35,IF(AND(المدخلات!$H$35="القسط (الدفعة) الاول",B22=1),المدخلات!$J$35,IF(المدخلات!$H$35="شهري",المدخلات!$J$35,""))),"")</f>
        <v/>
      </c>
      <c r="L22" s="6">
        <f>IF(B22&lt;=$C$6,(_xlfn.IFNA(IF(AND(المدخلات!$H$36="القسط (الدفعة) الاول",B22=1),المدخلات!$I$36,IF(المدخلات!$H$36="شهري",VLOOKUP(A22,المدخلات!$G$41:$L$46,6,0),IF(المدخلات!$H$36="سنوي",VLOOKUP('التمويل التأجيري'!B22,المدخلات!$K$41:$L$46,2,0),""))),""))," ")</f>
        <v>920</v>
      </c>
      <c r="M22" s="6" t="str">
        <f>IF(B22&lt;&gt;"",IF(AND(المدخلات!$H$37="سنوي",MOD(B22,12)=0),المدخلات!$J$37,IF(AND(المدخلات!$H$37="القسط (الدفعة) الاول",B22=1),المدخلات!$J$37,IF(المدخلات!$H$37="شهري",المدخلات!$J$37,IF(AND(المدخلات!$H$37="End of the loan",B22=المدخلات!$E$39),المدخلات!$J$37,"")))),"")</f>
        <v/>
      </c>
      <c r="N22" s="6">
        <f t="shared" si="0"/>
        <v>920</v>
      </c>
      <c r="O22" s="4">
        <f t="shared" si="1"/>
        <v>5877.4165516832718</v>
      </c>
      <c r="S22" s="9">
        <f t="shared" si="2"/>
        <v>45442</v>
      </c>
      <c r="T22" s="5">
        <f t="shared" si="6"/>
        <v>5877.42</v>
      </c>
      <c r="U22" s="123"/>
      <c r="V22" s="97"/>
      <c r="W22" s="89"/>
    </row>
    <row r="23" spans="1:24" x14ac:dyDescent="0.2">
      <c r="A23" s="1">
        <f t="shared" si="3"/>
        <v>1</v>
      </c>
      <c r="B23" s="16">
        <f t="shared" si="7"/>
        <v>6</v>
      </c>
      <c r="C23" s="9">
        <f t="shared" si="8"/>
        <v>45473</v>
      </c>
      <c r="D23" s="6">
        <f>IFERROR(PPMT(المدخلات!$E$35/12,B23,$C$6,المدخلات!$E$34,-$C$13,0)," ")</f>
        <v>-3737.3503410293233</v>
      </c>
      <c r="E23" s="6">
        <f>IFERROR(IPMT(المدخلات!$E$35/12,B23,$C$6,المدخلات!$E$34,-$C$13,0)," ")</f>
        <v>-1220.066210653948</v>
      </c>
      <c r="F23" s="6">
        <f t="shared" si="9"/>
        <v>-22183.609420887424</v>
      </c>
      <c r="G23" s="6">
        <f t="shared" si="10"/>
        <v>-7560.8898892122033</v>
      </c>
      <c r="H23" s="6">
        <f t="shared" si="4"/>
        <v>-4957.4165516832709</v>
      </c>
      <c r="I23" s="6">
        <f t="shared" si="5"/>
        <v>277816.39057911257</v>
      </c>
      <c r="J23" s="6" t="str">
        <f>IF(B23&lt;&gt;"",IF(AND(المدخلات!$H$34="سنوي",MOD(B23,12)=0),المدخلات!$J$34,IF(AND(المدخلات!$H$34="القسط (الدفعة) الاول",B23=1),المدخلات!$J$34,IF(المدخلات!$H$34="شهري",المدخلات!$J$34,""))),"")</f>
        <v/>
      </c>
      <c r="K23" s="6" t="str">
        <f>IF(B23&lt;&gt;"",IF(AND(المدخلات!$H$35="سنوي",MOD(B23,12)=0),المدخلات!$J$35,IF(AND(المدخلات!$H$35="القسط (الدفعة) الاول",B23=1),المدخلات!$J$35,IF(المدخلات!$H$35="شهري",المدخلات!$J$35,""))),"")</f>
        <v/>
      </c>
      <c r="L23" s="6">
        <f>IF(B23&lt;=$C$6,(_xlfn.IFNA(IF(AND(المدخلات!$H$36="القسط (الدفعة) الاول",B23=1),المدخلات!$I$36,IF(المدخلات!$H$36="شهري",VLOOKUP(A23,المدخلات!$G$41:$L$46,6,0),IF(المدخلات!$H$36="سنوي",VLOOKUP('التمويل التأجيري'!B23,المدخلات!$K$41:$L$46,2,0),""))),""))," ")</f>
        <v>920</v>
      </c>
      <c r="M23" s="6" t="str">
        <f>IF(B23&lt;&gt;"",IF(AND(المدخلات!$H$37="سنوي",MOD(B23,12)=0),المدخلات!$J$37,IF(AND(المدخلات!$H$37="القسط (الدفعة) الاول",B23=1),المدخلات!$J$37,IF(المدخلات!$H$37="شهري",المدخلات!$J$37,IF(AND(المدخلات!$H$37="End of the loan",B23=المدخلات!$E$39),المدخلات!$J$37,"")))),"")</f>
        <v/>
      </c>
      <c r="N23" s="6">
        <f t="shared" si="0"/>
        <v>920</v>
      </c>
      <c r="O23" s="4">
        <f t="shared" si="1"/>
        <v>5877.4165516832709</v>
      </c>
      <c r="S23" s="9">
        <f t="shared" si="2"/>
        <v>45473</v>
      </c>
      <c r="T23" s="5">
        <f t="shared" si="6"/>
        <v>5877.42</v>
      </c>
      <c r="U23" s="123"/>
      <c r="V23" s="97"/>
      <c r="W23" s="89"/>
    </row>
    <row r="24" spans="1:24" x14ac:dyDescent="0.2">
      <c r="A24" s="1">
        <f t="shared" si="3"/>
        <v>1</v>
      </c>
      <c r="B24" s="16">
        <f t="shared" si="7"/>
        <v>7</v>
      </c>
      <c r="C24" s="9">
        <f t="shared" si="8"/>
        <v>45503</v>
      </c>
      <c r="D24" s="6">
        <f>IFERROR(PPMT(المدخلات!$E$35/12,B24,$C$6,المدخلات!$E$34,-$C$13,0)," ")</f>
        <v>-3753.5455258404513</v>
      </c>
      <c r="E24" s="6">
        <f>IFERROR(IPMT(المدخلات!$E$35/12,B24,$C$6,المدخلات!$E$34,-$C$13,0)," ")</f>
        <v>-1203.8710258428212</v>
      </c>
      <c r="F24" s="6">
        <f t="shared" si="9"/>
        <v>-25937.154946727875</v>
      </c>
      <c r="G24" s="6">
        <f t="shared" si="10"/>
        <v>-8764.7609150550252</v>
      </c>
      <c r="H24" s="6">
        <f t="shared" si="4"/>
        <v>-4957.4165516832727</v>
      </c>
      <c r="I24" s="6">
        <f t="shared" si="5"/>
        <v>274062.84505327215</v>
      </c>
      <c r="J24" s="6" t="str">
        <f>IF(B24&lt;&gt;"",IF(AND(المدخلات!$H$34="سنوي",MOD(B24,12)=0),المدخلات!$J$34,IF(AND(المدخلات!$H$34="القسط (الدفعة) الاول",B24=1),المدخلات!$J$34,IF(المدخلات!$H$34="شهري",المدخلات!$J$34,""))),"")</f>
        <v/>
      </c>
      <c r="K24" s="6" t="str">
        <f>IF(B24&lt;&gt;"",IF(AND(المدخلات!$H$35="سنوي",MOD(B24,12)=0),المدخلات!$J$35,IF(AND(المدخلات!$H$35="القسط (الدفعة) الاول",B24=1),المدخلات!$J$35,IF(المدخلات!$H$35="شهري",المدخلات!$J$35,""))),"")</f>
        <v/>
      </c>
      <c r="L24" s="6">
        <f>IF(B24&lt;=$C$6,(_xlfn.IFNA(IF(AND(المدخلات!$H$36="القسط (الدفعة) الاول",B24=1),المدخلات!$I$36,IF(المدخلات!$H$36="شهري",VLOOKUP(A24,المدخلات!$G$41:$L$46,6,0),IF(المدخلات!$H$36="سنوي",VLOOKUP('التمويل التأجيري'!B24,المدخلات!$K$41:$L$46,2,0),""))),""))," ")</f>
        <v>920</v>
      </c>
      <c r="M24" s="6" t="str">
        <f>IF(B24&lt;&gt;"",IF(AND(المدخلات!$H$37="سنوي",MOD(B24,12)=0),المدخلات!$J$37,IF(AND(المدخلات!$H$37="القسط (الدفعة) الاول",B24=1),المدخلات!$J$37,IF(المدخلات!$H$37="شهري",المدخلات!$J$37,IF(AND(المدخلات!$H$37="End of the loan",B24=المدخلات!$E$39),المدخلات!$J$37,"")))),"")</f>
        <v/>
      </c>
      <c r="N24" s="6">
        <f t="shared" si="0"/>
        <v>920</v>
      </c>
      <c r="O24" s="4">
        <f t="shared" si="1"/>
        <v>5877.4165516832727</v>
      </c>
      <c r="S24" s="9">
        <f t="shared" si="2"/>
        <v>45503</v>
      </c>
      <c r="T24" s="5">
        <f t="shared" si="6"/>
        <v>5877.42</v>
      </c>
      <c r="U24" s="123"/>
      <c r="V24" s="97"/>
      <c r="W24" s="89"/>
    </row>
    <row r="25" spans="1:24" x14ac:dyDescent="0.2">
      <c r="A25" s="1">
        <f t="shared" si="3"/>
        <v>1</v>
      </c>
      <c r="B25" s="16">
        <f t="shared" si="7"/>
        <v>8</v>
      </c>
      <c r="C25" s="9">
        <f t="shared" si="8"/>
        <v>45534</v>
      </c>
      <c r="D25" s="6">
        <f>IFERROR(PPMT(المدخلات!$E$35/12,B25,$C$6,المدخلات!$E$34,-$C$13,0)," ")</f>
        <v>-3769.8108897857596</v>
      </c>
      <c r="E25" s="6">
        <f>IFERROR(IPMT(المدخلات!$E$35/12,B25,$C$6,المدخلات!$E$34,-$C$13,0)," ")</f>
        <v>-1187.6056618975124</v>
      </c>
      <c r="F25" s="6">
        <f t="shared" si="9"/>
        <v>-29706.965836513635</v>
      </c>
      <c r="G25" s="6">
        <f t="shared" si="10"/>
        <v>-9952.3665769525378</v>
      </c>
      <c r="H25" s="6">
        <f t="shared" si="4"/>
        <v>-4957.4165516832718</v>
      </c>
      <c r="I25" s="6">
        <f t="shared" si="5"/>
        <v>270293.03416348639</v>
      </c>
      <c r="J25" s="6" t="str">
        <f>IF(B25&lt;&gt;"",IF(AND(المدخلات!$H$34="سنوي",MOD(B25,12)=0),المدخلات!$J$34,IF(AND(المدخلات!$H$34="القسط (الدفعة) الاول",B25=1),المدخلات!$J$34,IF(المدخلات!$H$34="شهري",المدخلات!$J$34,""))),"")</f>
        <v/>
      </c>
      <c r="K25" s="6" t="str">
        <f>IF(B25&lt;&gt;"",IF(AND(المدخلات!$H$35="سنوي",MOD(B25,12)=0),المدخلات!$J$35,IF(AND(المدخلات!$H$35="القسط (الدفعة) الاول",B25=1),المدخلات!$J$35,IF(المدخلات!$H$35="شهري",المدخلات!$J$35,""))),"")</f>
        <v/>
      </c>
      <c r="L25" s="6">
        <f>IF(B25&lt;=$C$6,(_xlfn.IFNA(IF(AND(المدخلات!$H$36="القسط (الدفعة) الاول",B25=1),المدخلات!$I$36,IF(المدخلات!$H$36="شهري",VLOOKUP(A25,المدخلات!$G$41:$L$46,6,0),IF(المدخلات!$H$36="سنوي",VLOOKUP('التمويل التأجيري'!B25,المدخلات!$K$41:$L$46,2,0),""))),""))," ")</f>
        <v>920</v>
      </c>
      <c r="M25" s="6" t="str">
        <f>IF(B25&lt;&gt;"",IF(AND(المدخلات!$H$37="سنوي",MOD(B25,12)=0),المدخلات!$J$37,IF(AND(المدخلات!$H$37="القسط (الدفعة) الاول",B25=1),المدخلات!$J$37,IF(المدخلات!$H$37="شهري",المدخلات!$J$37,IF(AND(المدخلات!$H$37="End of the loan",B25=المدخلات!$E$39),المدخلات!$J$37,"")))),"")</f>
        <v/>
      </c>
      <c r="N25" s="6">
        <f t="shared" si="0"/>
        <v>920</v>
      </c>
      <c r="O25" s="4">
        <f t="shared" si="1"/>
        <v>5877.4165516832718</v>
      </c>
      <c r="S25" s="9">
        <f t="shared" si="2"/>
        <v>45534</v>
      </c>
      <c r="T25" s="5">
        <f t="shared" si="6"/>
        <v>5877.42</v>
      </c>
      <c r="U25" s="123"/>
      <c r="V25" s="97"/>
      <c r="W25" s="89"/>
    </row>
    <row r="26" spans="1:24" x14ac:dyDescent="0.2">
      <c r="A26" s="1">
        <f t="shared" si="3"/>
        <v>1</v>
      </c>
      <c r="B26" s="16">
        <f t="shared" si="7"/>
        <v>9</v>
      </c>
      <c r="C26" s="9">
        <f t="shared" si="8"/>
        <v>45565</v>
      </c>
      <c r="D26" s="6">
        <f>IFERROR(PPMT(المدخلات!$E$35/12,B26,$C$6,المدخلات!$E$34,-$C$13,0)," ")</f>
        <v>-3786.1467369748311</v>
      </c>
      <c r="E26" s="6">
        <f>IFERROR(IPMT(المدخلات!$E$35/12,B26,$C$6,المدخلات!$E$34,-$C$13,0)," ")</f>
        <v>-1171.2698147084407</v>
      </c>
      <c r="F26" s="6">
        <f t="shared" si="9"/>
        <v>-33493.112573488463</v>
      </c>
      <c r="G26" s="6">
        <f t="shared" si="10"/>
        <v>-11123.636391660979</v>
      </c>
      <c r="H26" s="6">
        <f t="shared" si="4"/>
        <v>-4957.4165516832718</v>
      </c>
      <c r="I26" s="6">
        <f t="shared" si="5"/>
        <v>266506.88742651156</v>
      </c>
      <c r="J26" s="6" t="str">
        <f>IF(B26&lt;&gt;"",IF(AND(المدخلات!$H$34="سنوي",MOD(B26,12)=0),المدخلات!$J$34,IF(AND(المدخلات!$H$34="القسط (الدفعة) الاول",B26=1),المدخلات!$J$34,IF(المدخلات!$H$34="شهري",المدخلات!$J$34,""))),"")</f>
        <v/>
      </c>
      <c r="K26" s="6" t="str">
        <f>IF(B26&lt;&gt;"",IF(AND(المدخلات!$H$35="سنوي",MOD(B26,12)=0),المدخلات!$J$35,IF(AND(المدخلات!$H$35="القسط (الدفعة) الاول",B26=1),المدخلات!$J$35,IF(المدخلات!$H$35="شهري",المدخلات!$J$35,""))),"")</f>
        <v/>
      </c>
      <c r="L26" s="6">
        <f>IF(B26&lt;=$C$6,(_xlfn.IFNA(IF(AND(المدخلات!$H$36="القسط (الدفعة) الاول",B26=1),المدخلات!$I$36,IF(المدخلات!$H$36="شهري",VLOOKUP(A26,المدخلات!$G$41:$L$46,6,0),IF(المدخلات!$H$36="سنوي",VLOOKUP('التمويل التأجيري'!B26,المدخلات!$K$41:$L$46,2,0),""))),""))," ")</f>
        <v>920</v>
      </c>
      <c r="M26" s="6" t="str">
        <f>IF(B26&lt;&gt;"",IF(AND(المدخلات!$H$37="سنوي",MOD(B26,12)=0),المدخلات!$J$37,IF(AND(المدخلات!$H$37="القسط (الدفعة) الاول",B26=1),المدخلات!$J$37,IF(المدخلات!$H$37="شهري",المدخلات!$J$37,IF(AND(المدخلات!$H$37="End of the loan",B26=المدخلات!$E$39),المدخلات!$J$37,"")))),"")</f>
        <v/>
      </c>
      <c r="N26" s="6">
        <f t="shared" si="0"/>
        <v>920</v>
      </c>
      <c r="O26" s="4">
        <f t="shared" si="1"/>
        <v>5877.4165516832718</v>
      </c>
      <c r="S26" s="9">
        <f t="shared" si="2"/>
        <v>45565</v>
      </c>
      <c r="T26" s="5">
        <f t="shared" si="6"/>
        <v>5877.42</v>
      </c>
      <c r="U26" s="123"/>
      <c r="V26" s="97"/>
      <c r="W26" s="89"/>
    </row>
    <row r="27" spans="1:24" x14ac:dyDescent="0.2">
      <c r="A27" s="1">
        <f t="shared" si="3"/>
        <v>1</v>
      </c>
      <c r="B27" s="16">
        <f t="shared" si="7"/>
        <v>10</v>
      </c>
      <c r="C27" s="9">
        <f t="shared" si="8"/>
        <v>45595</v>
      </c>
      <c r="D27" s="6">
        <f>IFERROR(PPMT(المدخلات!$E$35/12,B27,$C$6,المدخلات!$E$34,-$C$13,0)," ")</f>
        <v>-3802.5533728350551</v>
      </c>
      <c r="E27" s="6">
        <f>IFERROR(IPMT(المدخلات!$E$35/12,B27,$C$6,المدخلات!$E$34,-$C$13,0)," ")</f>
        <v>-1154.8631788482164</v>
      </c>
      <c r="F27" s="6">
        <f t="shared" si="9"/>
        <v>-37295.665946323519</v>
      </c>
      <c r="G27" s="6">
        <f t="shared" si="10"/>
        <v>-12278.499570509195</v>
      </c>
      <c r="H27" s="6">
        <f t="shared" si="4"/>
        <v>-4957.4165516832718</v>
      </c>
      <c r="I27" s="6">
        <f t="shared" si="5"/>
        <v>262704.33405367646</v>
      </c>
      <c r="J27" s="6" t="str">
        <f>IF(B27&lt;&gt;"",IF(AND(المدخلات!$H$34="سنوي",MOD(B27,12)=0),المدخلات!$J$34,IF(AND(المدخلات!$H$34="القسط (الدفعة) الاول",B27=1),المدخلات!$J$34,IF(المدخلات!$H$34="شهري",المدخلات!$J$34,""))),"")</f>
        <v/>
      </c>
      <c r="K27" s="6" t="str">
        <f>IF(B27&lt;&gt;"",IF(AND(المدخلات!$H$35="سنوي",MOD(B27,12)=0),المدخلات!$J$35,IF(AND(المدخلات!$H$35="القسط (الدفعة) الاول",B27=1),المدخلات!$J$35,IF(المدخلات!$H$35="شهري",المدخلات!$J$35,""))),"")</f>
        <v/>
      </c>
      <c r="L27" s="6">
        <f>IF(B27&lt;=$C$6,(_xlfn.IFNA(IF(AND(المدخلات!$H$36="القسط (الدفعة) الاول",B27=1),المدخلات!$I$36,IF(المدخلات!$H$36="شهري",VLOOKUP(A27,المدخلات!$G$41:$L$46,6,0),IF(المدخلات!$H$36="سنوي",VLOOKUP('التمويل التأجيري'!B27,المدخلات!$K$41:$L$46,2,0),""))),""))," ")</f>
        <v>920</v>
      </c>
      <c r="M27" s="6" t="str">
        <f>IF(B27&lt;&gt;"",IF(AND(المدخلات!$H$37="سنوي",MOD(B27,12)=0),المدخلات!$J$37,IF(AND(المدخلات!$H$37="القسط (الدفعة) الاول",B27=1),المدخلات!$J$37,IF(المدخلات!$H$37="شهري",المدخلات!$J$37,IF(AND(المدخلات!$H$37="End of the loan",B27=المدخلات!$E$39),المدخلات!$J$37,"")))),"")</f>
        <v/>
      </c>
      <c r="N27" s="6">
        <f t="shared" si="0"/>
        <v>920</v>
      </c>
      <c r="O27" s="4">
        <f t="shared" si="1"/>
        <v>5877.4165516832718</v>
      </c>
      <c r="S27" s="9">
        <f t="shared" si="2"/>
        <v>45595</v>
      </c>
      <c r="T27" s="5">
        <f t="shared" si="6"/>
        <v>5877.42</v>
      </c>
      <c r="U27" s="123"/>
      <c r="V27" s="97"/>
      <c r="W27" s="89"/>
    </row>
    <row r="28" spans="1:24" x14ac:dyDescent="0.2">
      <c r="A28" s="1">
        <f t="shared" si="3"/>
        <v>1</v>
      </c>
      <c r="B28" s="16">
        <f t="shared" si="7"/>
        <v>11</v>
      </c>
      <c r="C28" s="9">
        <f t="shared" si="8"/>
        <v>45626</v>
      </c>
      <c r="D28" s="6">
        <f>IFERROR(PPMT(المدخلات!$E$35/12,B28,$C$6,المدخلات!$E$34,-$C$13,0)," ")</f>
        <v>-3819.0311041173409</v>
      </c>
      <c r="E28" s="6">
        <f>IFERROR(IPMT(المدخلات!$E$35/12,B28,$C$6,المدخلات!$E$34,-$C$13,0)," ")</f>
        <v>-1138.3854475659314</v>
      </c>
      <c r="F28" s="6">
        <f t="shared" si="9"/>
        <v>-41114.69705044086</v>
      </c>
      <c r="G28" s="6">
        <f t="shared" si="10"/>
        <v>-13416.885018075127</v>
      </c>
      <c r="H28" s="6">
        <f t="shared" si="4"/>
        <v>-4957.4165516832727</v>
      </c>
      <c r="I28" s="6">
        <f t="shared" si="5"/>
        <v>258885.30294955915</v>
      </c>
      <c r="J28" s="6" t="str">
        <f>IF(B28&lt;&gt;"",IF(AND(المدخلات!$H$34="سنوي",MOD(B28,12)=0),المدخلات!$J$34,IF(AND(المدخلات!$H$34="القسط (الدفعة) الاول",B28=1),المدخلات!$J$34,IF(المدخلات!$H$34="شهري",المدخلات!$J$34,""))),"")</f>
        <v/>
      </c>
      <c r="K28" s="6" t="str">
        <f>IF(B28&lt;&gt;"",IF(AND(المدخلات!$H$35="سنوي",MOD(B28,12)=0),المدخلات!$J$35,IF(AND(المدخلات!$H$35="القسط (الدفعة) الاول",B28=1),المدخلات!$J$35,IF(المدخلات!$H$35="شهري",المدخلات!$J$35,""))),"")</f>
        <v/>
      </c>
      <c r="L28" s="6">
        <f>IF(B28&lt;=$C$6,(_xlfn.IFNA(IF(AND(المدخلات!$H$36="القسط (الدفعة) الاول",B28=1),المدخلات!$I$36,IF(المدخلات!$H$36="شهري",VLOOKUP(A28,المدخلات!$G$41:$L$46,6,0),IF(المدخلات!$H$36="سنوي",VLOOKUP('التمويل التأجيري'!B28,المدخلات!$K$41:$L$46,2,0),""))),""))," ")</f>
        <v>920</v>
      </c>
      <c r="M28" s="6" t="str">
        <f>IF(B28&lt;&gt;"",IF(AND(المدخلات!$H$37="سنوي",MOD(B28,12)=0),المدخلات!$J$37,IF(AND(المدخلات!$H$37="القسط (الدفعة) الاول",B28=1),المدخلات!$J$37,IF(المدخلات!$H$37="شهري",المدخلات!$J$37,IF(AND(المدخلات!$H$37="End of the loan",B28=المدخلات!$E$39),المدخلات!$J$37,"")))),"")</f>
        <v/>
      </c>
      <c r="N28" s="6">
        <f t="shared" si="0"/>
        <v>920</v>
      </c>
      <c r="O28" s="4">
        <f t="shared" si="1"/>
        <v>5877.4165516832727</v>
      </c>
      <c r="S28" s="9">
        <f t="shared" si="2"/>
        <v>45626</v>
      </c>
      <c r="T28" s="5">
        <f t="shared" si="6"/>
        <v>5877.42</v>
      </c>
      <c r="U28" s="123"/>
      <c r="V28" s="97"/>
      <c r="W28" s="89"/>
    </row>
    <row r="29" spans="1:24" x14ac:dyDescent="0.2">
      <c r="A29" s="1">
        <f t="shared" si="3"/>
        <v>1</v>
      </c>
      <c r="B29" s="16">
        <f t="shared" si="7"/>
        <v>12</v>
      </c>
      <c r="C29" s="9">
        <f t="shared" si="8"/>
        <v>45656</v>
      </c>
      <c r="D29" s="6">
        <f>IFERROR(PPMT(المدخلات!$E$35/12,B29,$C$6,المدخلات!$E$34,-$C$13,0)," ")</f>
        <v>-3835.5802389018486</v>
      </c>
      <c r="E29" s="6">
        <f>IFERROR(IPMT(المدخلات!$E$35/12,B29,$C$6,المدخلات!$E$34,-$C$13,0)," ")</f>
        <v>-1121.8363127814227</v>
      </c>
      <c r="F29" s="6">
        <f t="shared" si="9"/>
        <v>-44950.27728934271</v>
      </c>
      <c r="G29" s="6">
        <f t="shared" si="10"/>
        <v>-14538.72133085655</v>
      </c>
      <c r="H29" s="6">
        <f t="shared" si="4"/>
        <v>-4957.4165516832709</v>
      </c>
      <c r="I29" s="6">
        <f t="shared" si="5"/>
        <v>255049.72271065728</v>
      </c>
      <c r="J29" s="6" t="str">
        <f>IF(B29&lt;&gt;"",IF(AND(المدخلات!$H$34="سنوي",MOD(B29,12)=0),المدخلات!$J$34,IF(AND(المدخلات!$H$34="القسط (الدفعة) الاول",B29=1),المدخلات!$J$34,IF(المدخلات!$H$34="شهري",المدخلات!$J$34,""))),"")</f>
        <v/>
      </c>
      <c r="K29" s="6">
        <f>IF(B29&lt;&gt;"",IF(AND(المدخلات!$H$35="سنوي",MOD(B29,12)=0),المدخلات!$J$35,IF(AND(المدخلات!$H$35="القسط (الدفعة) الاول",B29=1),المدخلات!$J$35,IF(المدخلات!$H$35="شهري",المدخلات!$J$35,""))),"")</f>
        <v>0</v>
      </c>
      <c r="L29" s="6">
        <f>IF(B29&lt;=$C$6,(_xlfn.IFNA(IF(AND(المدخلات!$H$36="القسط (الدفعة) الاول",B29=1),المدخلات!$I$36,IF(المدخلات!$H$36="شهري",VLOOKUP(A29,المدخلات!$G$41:$L$46,6,0),IF(المدخلات!$H$36="سنوي",VLOOKUP('التمويل التأجيري'!B29,المدخلات!$K$41:$L$46,2,0),""))),""))," ")</f>
        <v>920</v>
      </c>
      <c r="M29" s="6" t="str">
        <f>IF(B29&lt;&gt;"",IF(AND(المدخلات!$H$37="سنوي",MOD(B29,12)=0),المدخلات!$J$37,IF(AND(المدخلات!$H$37="القسط (الدفعة) الاول",B29=1),المدخلات!$J$37,IF(المدخلات!$H$37="شهري",المدخلات!$J$37,IF(AND(المدخلات!$H$37="End of the loan",B29=المدخلات!$E$39),المدخلات!$J$37,"")))),"")</f>
        <v/>
      </c>
      <c r="N29" s="6">
        <f t="shared" si="0"/>
        <v>920</v>
      </c>
      <c r="O29" s="4">
        <f t="shared" si="1"/>
        <v>5877.4165516832709</v>
      </c>
      <c r="S29" s="9">
        <f t="shared" si="2"/>
        <v>45656</v>
      </c>
      <c r="T29" s="5">
        <f t="shared" si="6"/>
        <v>5877.42</v>
      </c>
      <c r="U29" s="123"/>
      <c r="V29" s="97"/>
      <c r="W29" s="89"/>
    </row>
    <row r="30" spans="1:24" x14ac:dyDescent="0.2">
      <c r="A30" s="1">
        <f>IF(B30&lt;&gt;"",2,"")</f>
        <v>2</v>
      </c>
      <c r="B30" s="16">
        <f t="shared" si="7"/>
        <v>13</v>
      </c>
      <c r="C30" s="9">
        <f t="shared" si="8"/>
        <v>45687</v>
      </c>
      <c r="D30" s="6">
        <f>IFERROR(PPMT(المدخلات!$E$35/12,B30,$C$6,المدخلات!$E$34,-$C$13,0)," ")</f>
        <v>-3852.2010866037567</v>
      </c>
      <c r="E30" s="6">
        <f>IFERROR(IPMT(المدخلات!$E$35/12,B30,$C$6,المدخلات!$E$34,-$C$13,0)," ")</f>
        <v>-1105.2154650795146</v>
      </c>
      <c r="F30" s="6">
        <f t="shared" si="9"/>
        <v>-48802.47837594647</v>
      </c>
      <c r="G30" s="6">
        <f t="shared" si="10"/>
        <v>-15643.936795936064</v>
      </c>
      <c r="H30" s="6">
        <f t="shared" si="4"/>
        <v>-4957.4165516832709</v>
      </c>
      <c r="I30" s="6">
        <f t="shared" si="5"/>
        <v>251197.52162405354</v>
      </c>
      <c r="J30" s="6" t="str">
        <f>IF(B30&lt;&gt;"",IF(AND(المدخلات!$H$34="سنوي",MOD(B30,12)=0),المدخلات!$J$34,IF(AND(المدخلات!$H$34="القسط (الدفعة) الاول",B30=1),المدخلات!$J$34,IF(المدخلات!$H$34="شهري",المدخلات!$J$34,""))),"")</f>
        <v/>
      </c>
      <c r="K30" s="6" t="str">
        <f>IF(B30&lt;&gt;"",IF(AND(المدخلات!$H$35="سنوي",MOD(B30,12)=0),المدخلات!$J$35,IF(AND(المدخلات!$H$35="القسط (الدفعة) الاول",B30=1),المدخلات!$J$35,IF(المدخلات!$H$35="شهري",المدخلات!$J$35,""))),"")</f>
        <v/>
      </c>
      <c r="L30" s="6">
        <f>IF(B30&lt;=$C$6,(_xlfn.IFNA(IF(AND(المدخلات!$H$36="القسط (الدفعة) الاول",B30=1),المدخلات!$I$36,IF(المدخلات!$H$36="شهري",VLOOKUP(A30,المدخلات!$G$41:$L$46,6,0),IF(المدخلات!$H$36="سنوي",VLOOKUP('التمويل التأجيري'!B30,المدخلات!$K$41:$L$46,2,0),""))),""))," ")</f>
        <v>736</v>
      </c>
      <c r="M30" s="6" t="str">
        <f>IF(B30&lt;&gt;"",IF(AND(المدخلات!$H$37="سنوي",MOD(B30,12)=0),المدخلات!$J$37,IF(AND(المدخلات!$H$37="القسط (الدفعة) الاول",B30=1),المدخلات!$J$37,IF(المدخلات!$H$37="شهري",المدخلات!$J$37,IF(AND(المدخلات!$H$37="End of the loan",B30=المدخلات!$E$39),المدخلات!$J$37,"")))),"")</f>
        <v/>
      </c>
      <c r="N30" s="6">
        <f t="shared" si="0"/>
        <v>736</v>
      </c>
      <c r="O30" s="4">
        <f t="shared" si="1"/>
        <v>5693.4165516832709</v>
      </c>
      <c r="S30" s="9">
        <f t="shared" si="2"/>
        <v>45687</v>
      </c>
      <c r="T30" s="5">
        <f t="shared" si="6"/>
        <v>5693.42</v>
      </c>
      <c r="U30" s="123"/>
      <c r="V30" s="97"/>
      <c r="W30" s="89"/>
    </row>
    <row r="31" spans="1:24" x14ac:dyDescent="0.2">
      <c r="A31" s="1">
        <f t="shared" ref="A31:A41" si="11">IF(B31&lt;&gt;"",2,"")</f>
        <v>2</v>
      </c>
      <c r="B31" s="16">
        <f t="shared" si="7"/>
        <v>14</v>
      </c>
      <c r="C31" s="9">
        <f t="shared" si="8"/>
        <v>45716</v>
      </c>
      <c r="D31" s="6">
        <f>IFERROR(PPMT(المدخلات!$E$35/12,B31,$C$6,المدخلات!$E$34,-$C$13,0)," ")</f>
        <v>-3868.8939579790399</v>
      </c>
      <c r="E31" s="6">
        <f>IFERROR(IPMT(المدخلات!$E$35/12,B31,$C$6,المدخلات!$E$34,-$C$13,0)," ")</f>
        <v>-1088.5225937042317</v>
      </c>
      <c r="F31" s="6">
        <f t="shared" si="9"/>
        <v>-52671.372333925508</v>
      </c>
      <c r="G31" s="6">
        <f t="shared" si="10"/>
        <v>-16732.459389640295</v>
      </c>
      <c r="H31" s="6">
        <f t="shared" si="4"/>
        <v>-4957.4165516832718</v>
      </c>
      <c r="I31" s="6">
        <f t="shared" si="5"/>
        <v>247328.62766607449</v>
      </c>
      <c r="J31" s="6" t="str">
        <f>IF(B31&lt;&gt;"",IF(AND(المدخلات!$H$34="سنوي",MOD(B31,12)=0),المدخلات!$J$34,IF(AND(المدخلات!$H$34="القسط (الدفعة) الاول",B31=1),المدخلات!$J$34,IF(المدخلات!$H$34="شهري",المدخلات!$J$34,""))),"")</f>
        <v/>
      </c>
      <c r="K31" s="6" t="str">
        <f>IF(B31&lt;&gt;"",IF(AND(المدخلات!$H$35="سنوي",MOD(B31,12)=0),المدخلات!$J$35,IF(AND(المدخلات!$H$35="القسط (الدفعة) الاول",B31=1),المدخلات!$J$35,IF(المدخلات!$H$35="شهري",المدخلات!$J$35,""))),"")</f>
        <v/>
      </c>
      <c r="L31" s="6">
        <f>IF(B31&lt;=$C$6,(_xlfn.IFNA(IF(AND(المدخلات!$H$36="القسط (الدفعة) الاول",B31=1),المدخلات!$I$36,IF(المدخلات!$H$36="شهري",VLOOKUP(A31,المدخلات!$G$41:$L$46,6,0),IF(المدخلات!$H$36="سنوي",VLOOKUP('التمويل التأجيري'!B31,المدخلات!$K$41:$L$46,2,0),""))),""))," ")</f>
        <v>736</v>
      </c>
      <c r="M31" s="6" t="str">
        <f>IF(B31&lt;&gt;"",IF(AND(المدخلات!$H$37="سنوي",MOD(B31,12)=0),المدخلات!$J$37,IF(AND(المدخلات!$H$37="القسط (الدفعة) الاول",B31=1),المدخلات!$J$37,IF(المدخلات!$H$37="شهري",المدخلات!$J$37,IF(AND(المدخلات!$H$37="End of the loan",B31=المدخلات!$E$39),المدخلات!$J$37,"")))),"")</f>
        <v/>
      </c>
      <c r="N31" s="6">
        <f t="shared" si="0"/>
        <v>736</v>
      </c>
      <c r="O31" s="4">
        <f t="shared" si="1"/>
        <v>5693.4165516832718</v>
      </c>
      <c r="S31" s="9">
        <f t="shared" si="2"/>
        <v>45716</v>
      </c>
      <c r="T31" s="5">
        <f t="shared" si="6"/>
        <v>5693.42</v>
      </c>
      <c r="U31" s="123"/>
      <c r="V31" s="97"/>
      <c r="W31" s="89"/>
    </row>
    <row r="32" spans="1:24" x14ac:dyDescent="0.2">
      <c r="A32" s="1">
        <f t="shared" si="11"/>
        <v>2</v>
      </c>
      <c r="B32" s="16">
        <f t="shared" si="7"/>
        <v>15</v>
      </c>
      <c r="C32" s="9">
        <f t="shared" si="8"/>
        <v>45746</v>
      </c>
      <c r="D32" s="6">
        <f>IFERROR(PPMT(المدخلات!$E$35/12,B32,$C$6,المدخلات!$E$34,-$C$13,0)," ")</f>
        <v>-3885.6591651302824</v>
      </c>
      <c r="E32" s="6">
        <f>IFERROR(IPMT(المدخلات!$E$35/12,B32,$C$6,المدخلات!$E$34,-$C$13,0)," ")</f>
        <v>-1071.7573865529894</v>
      </c>
      <c r="F32" s="6">
        <f t="shared" si="9"/>
        <v>-56557.031499055789</v>
      </c>
      <c r="G32" s="6">
        <f t="shared" si="10"/>
        <v>-17804.216776193283</v>
      </c>
      <c r="H32" s="6">
        <f t="shared" si="4"/>
        <v>-4957.4165516832718</v>
      </c>
      <c r="I32" s="6">
        <f t="shared" si="5"/>
        <v>243442.9685009442</v>
      </c>
      <c r="J32" s="6" t="str">
        <f>IF(B32&lt;&gt;"",IF(AND(المدخلات!$H$34="سنوي",MOD(B32,12)=0),المدخلات!$J$34,IF(AND(المدخلات!$H$34="القسط (الدفعة) الاول",B32=1),المدخلات!$J$34,IF(المدخلات!$H$34="شهري",المدخلات!$J$34,""))),"")</f>
        <v/>
      </c>
      <c r="K32" s="6" t="str">
        <f>IF(B32&lt;&gt;"",IF(AND(المدخلات!$H$35="سنوي",MOD(B32,12)=0),المدخلات!$J$35,IF(AND(المدخلات!$H$35="القسط (الدفعة) الاول",B32=1),المدخلات!$J$35,IF(المدخلات!$H$35="شهري",المدخلات!$J$35,""))),"")</f>
        <v/>
      </c>
      <c r="L32" s="6">
        <f>IF(B32&lt;=$C$6,(_xlfn.IFNA(IF(AND(المدخلات!$H$36="القسط (الدفعة) الاول",B32=1),المدخلات!$I$36,IF(المدخلات!$H$36="شهري",VLOOKUP(A32,المدخلات!$G$41:$L$46,6,0),IF(المدخلات!$H$36="سنوي",VLOOKUP('التمويل التأجيري'!B32,المدخلات!$K$41:$L$46,2,0),""))),""))," ")</f>
        <v>736</v>
      </c>
      <c r="M32" s="6" t="str">
        <f>IF(B32&lt;&gt;"",IF(AND(المدخلات!$H$37="سنوي",MOD(B32,12)=0),المدخلات!$J$37,IF(AND(المدخلات!$H$37="القسط (الدفعة) الاول",B32=1),المدخلات!$J$37,IF(المدخلات!$H$37="شهري",المدخلات!$J$37,IF(AND(المدخلات!$H$37="End of the loan",B32=المدخلات!$E$39),المدخلات!$J$37,"")))),"")</f>
        <v/>
      </c>
      <c r="N32" s="6">
        <f t="shared" si="0"/>
        <v>736</v>
      </c>
      <c r="O32" s="4">
        <f t="shared" si="1"/>
        <v>5693.4165516832718</v>
      </c>
      <c r="S32" s="9">
        <f t="shared" si="2"/>
        <v>45746</v>
      </c>
      <c r="T32" s="5">
        <f t="shared" si="6"/>
        <v>5693.42</v>
      </c>
      <c r="U32" s="123"/>
      <c r="V32" s="97"/>
      <c r="W32" s="89"/>
    </row>
    <row r="33" spans="1:23" x14ac:dyDescent="0.2">
      <c r="A33" s="1">
        <f t="shared" si="11"/>
        <v>2</v>
      </c>
      <c r="B33" s="16">
        <f t="shared" si="7"/>
        <v>16</v>
      </c>
      <c r="C33" s="9">
        <f t="shared" si="8"/>
        <v>45777</v>
      </c>
      <c r="D33" s="6">
        <f>IFERROR(PPMT(المدخلات!$E$35/12,B33,$C$6,المدخلات!$E$34,-$C$13,0)," ")</f>
        <v>-3902.4970215125136</v>
      </c>
      <c r="E33" s="6">
        <f>IFERROR(IPMT(المدخلات!$E$35/12,B33,$C$6,المدخلات!$E$34,-$C$13,0)," ")</f>
        <v>-1054.919530170758</v>
      </c>
      <c r="F33" s="6">
        <f t="shared" si="9"/>
        <v>-60459.528520568303</v>
      </c>
      <c r="G33" s="6">
        <f t="shared" si="10"/>
        <v>-18859.136306364042</v>
      </c>
      <c r="H33" s="6">
        <f t="shared" si="4"/>
        <v>-4957.4165516832718</v>
      </c>
      <c r="I33" s="6">
        <f t="shared" si="5"/>
        <v>239540.4714794317</v>
      </c>
      <c r="J33" s="6" t="str">
        <f>IF(B33&lt;&gt;"",IF(AND(المدخلات!$H$34="سنوي",MOD(B33,12)=0),المدخلات!$J$34,IF(AND(المدخلات!$H$34="القسط (الدفعة) الاول",B33=1),المدخلات!$J$34,IF(المدخلات!$H$34="شهري",المدخلات!$J$34,""))),"")</f>
        <v/>
      </c>
      <c r="K33" s="6" t="str">
        <f>IF(B33&lt;&gt;"",IF(AND(المدخلات!$H$35="سنوي",MOD(B33,12)=0),المدخلات!$J$35,IF(AND(المدخلات!$H$35="القسط (الدفعة) الاول",B33=1),المدخلات!$J$35,IF(المدخلات!$H$35="شهري",المدخلات!$J$35,""))),"")</f>
        <v/>
      </c>
      <c r="L33" s="6">
        <f>IF(B33&lt;=$C$6,(_xlfn.IFNA(IF(AND(المدخلات!$H$36="القسط (الدفعة) الاول",B33=1),المدخلات!$I$36,IF(المدخلات!$H$36="شهري",VLOOKUP(A33,المدخلات!$G$41:$L$46,6,0),IF(المدخلات!$H$36="سنوي",VLOOKUP('التمويل التأجيري'!B33,المدخلات!$K$41:$L$46,2,0),""))),""))," ")</f>
        <v>736</v>
      </c>
      <c r="M33" s="6" t="str">
        <f>IF(B33&lt;&gt;"",IF(AND(المدخلات!$H$37="سنوي",MOD(B33,12)=0),المدخلات!$J$37,IF(AND(المدخلات!$H$37="القسط (الدفعة) الاول",B33=1),المدخلات!$J$37,IF(المدخلات!$H$37="شهري",المدخلات!$J$37,IF(AND(المدخلات!$H$37="End of the loan",B33=المدخلات!$E$39),المدخلات!$J$37,"")))),"")</f>
        <v/>
      </c>
      <c r="N33" s="6">
        <f t="shared" si="0"/>
        <v>736</v>
      </c>
      <c r="O33" s="4">
        <f t="shared" si="1"/>
        <v>5693.4165516832718</v>
      </c>
      <c r="S33" s="9">
        <f t="shared" si="2"/>
        <v>45777</v>
      </c>
      <c r="T33" s="5">
        <f t="shared" si="6"/>
        <v>5693.42</v>
      </c>
      <c r="U33" s="123"/>
      <c r="V33" s="97"/>
      <c r="W33" s="89"/>
    </row>
    <row r="34" spans="1:23" x14ac:dyDescent="0.2">
      <c r="A34" s="1">
        <f t="shared" si="11"/>
        <v>2</v>
      </c>
      <c r="B34" s="16">
        <f t="shared" si="7"/>
        <v>17</v>
      </c>
      <c r="C34" s="9">
        <f t="shared" si="8"/>
        <v>45807</v>
      </c>
      <c r="D34" s="6">
        <f>IFERROR(PPMT(المدخلات!$E$35/12,B34,$C$6,المدخلات!$E$34,-$C$13,0)," ")</f>
        <v>-3919.4078419390676</v>
      </c>
      <c r="E34" s="6">
        <f>IFERROR(IPMT(المدخلات!$E$35/12,B34,$C$6,المدخلات!$E$34,-$C$13,0)," ")</f>
        <v>-1038.008709744204</v>
      </c>
      <c r="F34" s="6">
        <f t="shared" si="9"/>
        <v>-64378.936362507367</v>
      </c>
      <c r="G34" s="6">
        <f t="shared" si="10"/>
        <v>-19897.145016108247</v>
      </c>
      <c r="H34" s="6">
        <f t="shared" si="4"/>
        <v>-4957.4165516832718</v>
      </c>
      <c r="I34" s="6">
        <f t="shared" si="5"/>
        <v>235621.06363749263</v>
      </c>
      <c r="J34" s="6" t="str">
        <f>IF(B34&lt;&gt;"",IF(AND(المدخلات!$H$34="سنوي",MOD(B34,12)=0),المدخلات!$J$34,IF(AND(المدخلات!$H$34="القسط (الدفعة) الاول",B34=1),المدخلات!$J$34,IF(المدخلات!$H$34="شهري",المدخلات!$J$34,""))),"")</f>
        <v/>
      </c>
      <c r="K34" s="6" t="str">
        <f>IF(B34&lt;&gt;"",IF(AND(المدخلات!$H$35="سنوي",MOD(B34,12)=0),المدخلات!$J$35,IF(AND(المدخلات!$H$35="القسط (الدفعة) الاول",B34=1),المدخلات!$J$35,IF(المدخلات!$H$35="شهري",المدخلات!$J$35,""))),"")</f>
        <v/>
      </c>
      <c r="L34" s="6">
        <f>IF(B34&lt;=$C$6,(_xlfn.IFNA(IF(AND(المدخلات!$H$36="القسط (الدفعة) الاول",B34=1),المدخلات!$I$36,IF(المدخلات!$H$36="شهري",VLOOKUP(A34,المدخلات!$G$41:$L$46,6,0),IF(المدخلات!$H$36="سنوي",VLOOKUP('التمويل التأجيري'!B34,المدخلات!$K$41:$L$46,2,0),""))),""))," ")</f>
        <v>736</v>
      </c>
      <c r="M34" s="6" t="str">
        <f>IF(B34&lt;&gt;"",IF(AND(المدخلات!$H$37="سنوي",MOD(B34,12)=0),المدخلات!$J$37,IF(AND(المدخلات!$H$37="القسط (الدفعة) الاول",B34=1),المدخلات!$J$37,IF(المدخلات!$H$37="شهري",المدخلات!$J$37,IF(AND(المدخلات!$H$37="End of the loan",B34=المدخلات!$E$39),المدخلات!$J$37,"")))),"")</f>
        <v/>
      </c>
      <c r="N34" s="6">
        <f t="shared" si="0"/>
        <v>736</v>
      </c>
      <c r="O34" s="4">
        <f t="shared" si="1"/>
        <v>5693.4165516832718</v>
      </c>
      <c r="S34" s="9">
        <f t="shared" si="2"/>
        <v>45807</v>
      </c>
      <c r="T34" s="5">
        <f t="shared" si="6"/>
        <v>5693.42</v>
      </c>
      <c r="U34" s="123"/>
      <c r="V34" s="97"/>
      <c r="W34" s="89"/>
    </row>
    <row r="35" spans="1:23" x14ac:dyDescent="0.2">
      <c r="A35" s="1">
        <f t="shared" si="11"/>
        <v>2</v>
      </c>
      <c r="B35" s="16">
        <f t="shared" si="7"/>
        <v>18</v>
      </c>
      <c r="C35" s="9">
        <f t="shared" si="8"/>
        <v>45838</v>
      </c>
      <c r="D35" s="6">
        <f>IFERROR(PPMT(المدخلات!$E$35/12,B35,$C$6,المدخلات!$E$34,-$C$13,0)," ")</f>
        <v>-3936.3919425874706</v>
      </c>
      <c r="E35" s="6">
        <f>IFERROR(IPMT(المدخلات!$E$35/12,B35,$C$6,المدخلات!$E$34,-$C$13,0)," ")</f>
        <v>-1021.0246090958011</v>
      </c>
      <c r="F35" s="6">
        <f t="shared" si="9"/>
        <v>-68315.328305094838</v>
      </c>
      <c r="G35" s="6">
        <f t="shared" si="10"/>
        <v>-20918.169625204049</v>
      </c>
      <c r="H35" s="6">
        <f t="shared" si="4"/>
        <v>-4957.4165516832718</v>
      </c>
      <c r="I35" s="6">
        <f t="shared" si="5"/>
        <v>231684.67169490515</v>
      </c>
      <c r="J35" s="6" t="str">
        <f>IF(B35&lt;&gt;"",IF(AND(المدخلات!$H$34="سنوي",MOD(B35,12)=0),المدخلات!$J$34,IF(AND(المدخلات!$H$34="القسط (الدفعة) الاول",B35=1),المدخلات!$J$34,IF(المدخلات!$H$34="شهري",المدخلات!$J$34,""))),"")</f>
        <v/>
      </c>
      <c r="K35" s="6" t="str">
        <f>IF(B35&lt;&gt;"",IF(AND(المدخلات!$H$35="سنوي",MOD(B35,12)=0),المدخلات!$J$35,IF(AND(المدخلات!$H$35="القسط (الدفعة) الاول",B35=1),المدخلات!$J$35,IF(المدخلات!$H$35="شهري",المدخلات!$J$35,""))),"")</f>
        <v/>
      </c>
      <c r="L35" s="6">
        <f>IF(B35&lt;=$C$6,(_xlfn.IFNA(IF(AND(المدخلات!$H$36="القسط (الدفعة) الاول",B35=1),المدخلات!$I$36,IF(المدخلات!$H$36="شهري",VLOOKUP(A35,المدخلات!$G$41:$L$46,6,0),IF(المدخلات!$H$36="سنوي",VLOOKUP('التمويل التأجيري'!B35,المدخلات!$K$41:$L$46,2,0),""))),""))," ")</f>
        <v>736</v>
      </c>
      <c r="M35" s="6" t="str">
        <f>IF(B35&lt;&gt;"",IF(AND(المدخلات!$H$37="سنوي",MOD(B35,12)=0),المدخلات!$J$37,IF(AND(المدخلات!$H$37="القسط (الدفعة) الاول",B35=1),المدخلات!$J$37,IF(المدخلات!$H$37="شهري",المدخلات!$J$37,IF(AND(المدخلات!$H$37="End of the loan",B35=المدخلات!$E$39),المدخلات!$J$37,"")))),"")</f>
        <v/>
      </c>
      <c r="N35" s="6">
        <f t="shared" si="0"/>
        <v>736</v>
      </c>
      <c r="O35" s="4">
        <f t="shared" si="1"/>
        <v>5693.4165516832718</v>
      </c>
      <c r="S35" s="9">
        <f t="shared" si="2"/>
        <v>45838</v>
      </c>
      <c r="T35" s="5">
        <f t="shared" si="6"/>
        <v>5693.42</v>
      </c>
      <c r="U35" s="123"/>
      <c r="V35" s="97"/>
      <c r="W35" s="89"/>
    </row>
    <row r="36" spans="1:23" x14ac:dyDescent="0.2">
      <c r="A36" s="1">
        <f t="shared" si="11"/>
        <v>2</v>
      </c>
      <c r="B36" s="16">
        <f t="shared" si="7"/>
        <v>19</v>
      </c>
      <c r="C36" s="9">
        <f t="shared" si="8"/>
        <v>45868</v>
      </c>
      <c r="D36" s="6">
        <f>IFERROR(PPMT(المدخلات!$E$35/12,B36,$C$6,المدخلات!$E$34,-$C$13,0)," ")</f>
        <v>-3953.4496410053498</v>
      </c>
      <c r="E36" s="6">
        <f>IFERROR(IPMT(المدخلات!$E$35/12,B36,$C$6,المدخلات!$E$34,-$C$13,0)," ")</f>
        <v>-1003.9669106779222</v>
      </c>
      <c r="F36" s="6">
        <f t="shared" si="9"/>
        <v>-72268.777946100192</v>
      </c>
      <c r="G36" s="6">
        <f t="shared" si="10"/>
        <v>-21922.136535881971</v>
      </c>
      <c r="H36" s="6">
        <f t="shared" si="4"/>
        <v>-4957.4165516832718</v>
      </c>
      <c r="I36" s="6">
        <f t="shared" si="5"/>
        <v>227731.22205389981</v>
      </c>
      <c r="J36" s="6" t="str">
        <f>IF(B36&lt;&gt;"",IF(AND(المدخلات!$H$34="سنوي",MOD(B36,12)=0),المدخلات!$J$34,IF(AND(المدخلات!$H$34="القسط (الدفعة) الاول",B36=1),المدخلات!$J$34,IF(المدخلات!$H$34="شهري",المدخلات!$J$34,""))),"")</f>
        <v/>
      </c>
      <c r="K36" s="6" t="str">
        <f>IF(B36&lt;&gt;"",IF(AND(المدخلات!$H$35="سنوي",MOD(B36,12)=0),المدخلات!$J$35,IF(AND(المدخلات!$H$35="القسط (الدفعة) الاول",B36=1),المدخلات!$J$35,IF(المدخلات!$H$35="شهري",المدخلات!$J$35,""))),"")</f>
        <v/>
      </c>
      <c r="L36" s="6">
        <f>IF(B36&lt;=$C$6,(_xlfn.IFNA(IF(AND(المدخلات!$H$36="القسط (الدفعة) الاول",B36=1),المدخلات!$I$36,IF(المدخلات!$H$36="شهري",VLOOKUP(A36,المدخلات!$G$41:$L$46,6,0),IF(المدخلات!$H$36="سنوي",VLOOKUP('التمويل التأجيري'!B36,المدخلات!$K$41:$L$46,2,0),""))),""))," ")</f>
        <v>736</v>
      </c>
      <c r="M36" s="6" t="str">
        <f>IF(B36&lt;&gt;"",IF(AND(المدخلات!$H$37="سنوي",MOD(B36,12)=0),المدخلات!$J$37,IF(AND(المدخلات!$H$37="القسط (الدفعة) الاول",B36=1),المدخلات!$J$37,IF(المدخلات!$H$37="شهري",المدخلات!$J$37,IF(AND(المدخلات!$H$37="End of the loan",B36=المدخلات!$E$39),المدخلات!$J$37,"")))),"")</f>
        <v/>
      </c>
      <c r="N36" s="6">
        <f t="shared" si="0"/>
        <v>736</v>
      </c>
      <c r="O36" s="4">
        <f t="shared" si="1"/>
        <v>5693.4165516832718</v>
      </c>
      <c r="S36" s="9">
        <f t="shared" si="2"/>
        <v>45868</v>
      </c>
      <c r="T36" s="5">
        <f t="shared" si="6"/>
        <v>5693.42</v>
      </c>
      <c r="U36" s="123"/>
      <c r="V36" s="97"/>
      <c r="W36" s="89"/>
    </row>
    <row r="37" spans="1:23" x14ac:dyDescent="0.2">
      <c r="A37" s="1">
        <f t="shared" si="11"/>
        <v>2</v>
      </c>
      <c r="B37" s="16">
        <f t="shared" si="7"/>
        <v>20</v>
      </c>
      <c r="C37" s="9">
        <f t="shared" si="8"/>
        <v>45899</v>
      </c>
      <c r="D37" s="6">
        <f>IFERROR(PPMT(المدخلات!$E$35/12,B37,$C$6,المدخلات!$E$34,-$C$13,0)," ")</f>
        <v>-3970.581256116373</v>
      </c>
      <c r="E37" s="6">
        <f>IFERROR(IPMT(المدخلات!$E$35/12,B37,$C$6,المدخلات!$E$34,-$C$13,0)," ")</f>
        <v>-986.83529556689905</v>
      </c>
      <c r="F37" s="6">
        <f t="shared" si="9"/>
        <v>-76239.359202216569</v>
      </c>
      <c r="G37" s="6">
        <f t="shared" si="10"/>
        <v>-22908.971831448871</v>
      </c>
      <c r="H37" s="6">
        <f t="shared" si="4"/>
        <v>-4957.4165516832718</v>
      </c>
      <c r="I37" s="6">
        <f t="shared" si="5"/>
        <v>223760.64079778345</v>
      </c>
      <c r="J37" s="6" t="str">
        <f>IF(B37&lt;&gt;"",IF(AND(المدخلات!$H$34="سنوي",MOD(B37,12)=0),المدخلات!$J$34,IF(AND(المدخلات!$H$34="القسط (الدفعة) الاول",B37=1),المدخلات!$J$34,IF(المدخلات!$H$34="شهري",المدخلات!$J$34,""))),"")</f>
        <v/>
      </c>
      <c r="K37" s="6" t="str">
        <f>IF(B37&lt;&gt;"",IF(AND(المدخلات!$H$35="سنوي",MOD(B37,12)=0),المدخلات!$J$35,IF(AND(المدخلات!$H$35="القسط (الدفعة) الاول",B37=1),المدخلات!$J$35,IF(المدخلات!$H$35="شهري",المدخلات!$J$35,""))),"")</f>
        <v/>
      </c>
      <c r="L37" s="6">
        <f>IF(B37&lt;=$C$6,(_xlfn.IFNA(IF(AND(المدخلات!$H$36="القسط (الدفعة) الاول",B37=1),المدخلات!$I$36,IF(المدخلات!$H$36="شهري",VLOOKUP(A37,المدخلات!$G$41:$L$46,6,0),IF(المدخلات!$H$36="سنوي",VLOOKUP('التمويل التأجيري'!B37,المدخلات!$K$41:$L$46,2,0),""))),""))," ")</f>
        <v>736</v>
      </c>
      <c r="M37" s="6" t="str">
        <f>IF(B37&lt;&gt;"",IF(AND(المدخلات!$H$37="سنوي",MOD(B37,12)=0),المدخلات!$J$37,IF(AND(المدخلات!$H$37="القسط (الدفعة) الاول",B37=1),المدخلات!$J$37,IF(المدخلات!$H$37="شهري",المدخلات!$J$37,IF(AND(المدخلات!$H$37="End of the loan",B37=المدخلات!$E$39),المدخلات!$J$37,"")))),"")</f>
        <v/>
      </c>
      <c r="N37" s="6">
        <f t="shared" si="0"/>
        <v>736</v>
      </c>
      <c r="O37" s="4">
        <f t="shared" si="1"/>
        <v>5693.4165516832718</v>
      </c>
      <c r="S37" s="9">
        <f t="shared" si="2"/>
        <v>45899</v>
      </c>
      <c r="T37" s="5">
        <f t="shared" si="6"/>
        <v>5693.42</v>
      </c>
      <c r="U37" s="123"/>
      <c r="V37" s="97"/>
      <c r="W37" s="89"/>
    </row>
    <row r="38" spans="1:23" x14ac:dyDescent="0.2">
      <c r="A38" s="1">
        <f t="shared" si="11"/>
        <v>2</v>
      </c>
      <c r="B38" s="16">
        <f t="shared" si="7"/>
        <v>21</v>
      </c>
      <c r="C38" s="9">
        <f t="shared" si="8"/>
        <v>45930</v>
      </c>
      <c r="D38" s="6">
        <f>IFERROR(PPMT(المدخلات!$E$35/12,B38,$C$6,المدخلات!$E$34,-$C$13,0)," ")</f>
        <v>-3987.7871082262104</v>
      </c>
      <c r="E38" s="6">
        <f>IFERROR(IPMT(المدخلات!$E$35/12,B38,$C$6,المدخلات!$E$34,-$C$13,0)," ")</f>
        <v>-969.62944345706126</v>
      </c>
      <c r="F38" s="6">
        <f t="shared" si="9"/>
        <v>-80227.146310442782</v>
      </c>
      <c r="G38" s="6">
        <f t="shared" si="10"/>
        <v>-23878.601274905934</v>
      </c>
      <c r="H38" s="6">
        <f t="shared" si="4"/>
        <v>-4957.4165516832718</v>
      </c>
      <c r="I38" s="6">
        <f t="shared" si="5"/>
        <v>219772.85368955723</v>
      </c>
      <c r="J38" s="6" t="str">
        <f>IF(B38&lt;&gt;"",IF(AND(المدخلات!$H$34="سنوي",MOD(B38,12)=0),المدخلات!$J$34,IF(AND(المدخلات!$H$34="القسط (الدفعة) الاول",B38=1),المدخلات!$J$34,IF(المدخلات!$H$34="شهري",المدخلات!$J$34,""))),"")</f>
        <v/>
      </c>
      <c r="K38" s="6" t="str">
        <f>IF(B38&lt;&gt;"",IF(AND(المدخلات!$H$35="سنوي",MOD(B38,12)=0),المدخلات!$J$35,IF(AND(المدخلات!$H$35="القسط (الدفعة) الاول",B38=1),المدخلات!$J$35,IF(المدخلات!$H$35="شهري",المدخلات!$J$35,""))),"")</f>
        <v/>
      </c>
      <c r="L38" s="6">
        <f>IF(B38&lt;=$C$6,(_xlfn.IFNA(IF(AND(المدخلات!$H$36="القسط (الدفعة) الاول",B38=1),المدخلات!$I$36,IF(المدخلات!$H$36="شهري",VLOOKUP(A38,المدخلات!$G$41:$L$46,6,0),IF(المدخلات!$H$36="سنوي",VLOOKUP('التمويل التأجيري'!B38,المدخلات!$K$41:$L$46,2,0),""))),""))," ")</f>
        <v>736</v>
      </c>
      <c r="M38" s="6" t="str">
        <f>IF(B38&lt;&gt;"",IF(AND(المدخلات!$H$37="سنوي",MOD(B38,12)=0),المدخلات!$J$37,IF(AND(المدخلات!$H$37="القسط (الدفعة) الاول",B38=1),المدخلات!$J$37,IF(المدخلات!$H$37="شهري",المدخلات!$J$37,IF(AND(المدخلات!$H$37="End of the loan",B38=المدخلات!$E$39),المدخلات!$J$37,"")))),"")</f>
        <v/>
      </c>
      <c r="N38" s="6">
        <f t="shared" si="0"/>
        <v>736</v>
      </c>
      <c r="O38" s="4">
        <f t="shared" si="1"/>
        <v>5693.4165516832718</v>
      </c>
      <c r="S38" s="9">
        <f t="shared" si="2"/>
        <v>45930</v>
      </c>
      <c r="T38" s="5">
        <f t="shared" si="6"/>
        <v>5693.42</v>
      </c>
      <c r="U38" s="123"/>
      <c r="V38" s="97"/>
      <c r="W38" s="89"/>
    </row>
    <row r="39" spans="1:23" x14ac:dyDescent="0.2">
      <c r="A39" s="1">
        <f t="shared" si="11"/>
        <v>2</v>
      </c>
      <c r="B39" s="16">
        <f t="shared" si="7"/>
        <v>22</v>
      </c>
      <c r="C39" s="9">
        <f t="shared" si="8"/>
        <v>45960</v>
      </c>
      <c r="D39" s="6">
        <f>IFERROR(PPMT(المدخلات!$E$35/12,B39,$C$6,المدخلات!$E$34,-$C$13,0)," ")</f>
        <v>-4005.0675190285242</v>
      </c>
      <c r="E39" s="6">
        <f>IFERROR(IPMT(المدخلات!$E$35/12,B39,$C$6,المدخلات!$E$34,-$C$13,0)," ")</f>
        <v>-952.3490326547477</v>
      </c>
      <c r="F39" s="6">
        <f t="shared" si="9"/>
        <v>-84232.213829471308</v>
      </c>
      <c r="G39" s="6">
        <f t="shared" si="10"/>
        <v>-24830.950307560681</v>
      </c>
      <c r="H39" s="6">
        <f t="shared" si="4"/>
        <v>-4957.4165516832718</v>
      </c>
      <c r="I39" s="6">
        <f t="shared" si="5"/>
        <v>215767.78617052868</v>
      </c>
      <c r="J39" s="6" t="str">
        <f>IF(B39&lt;&gt;"",IF(AND(المدخلات!$H$34="سنوي",MOD(B39,12)=0),المدخلات!$J$34,IF(AND(المدخلات!$H$34="القسط (الدفعة) الاول",B39=1),المدخلات!$J$34,IF(المدخلات!$H$34="شهري",المدخلات!$J$34,""))),"")</f>
        <v/>
      </c>
      <c r="K39" s="6" t="str">
        <f>IF(B39&lt;&gt;"",IF(AND(المدخلات!$H$35="سنوي",MOD(B39,12)=0),المدخلات!$J$35,IF(AND(المدخلات!$H$35="القسط (الدفعة) الاول",B39=1),المدخلات!$J$35,IF(المدخلات!$H$35="شهري",المدخلات!$J$35,""))),"")</f>
        <v/>
      </c>
      <c r="L39" s="6">
        <f>IF(B39&lt;=$C$6,(_xlfn.IFNA(IF(AND(المدخلات!$H$36="القسط (الدفعة) الاول",B39=1),المدخلات!$I$36,IF(المدخلات!$H$36="شهري",VLOOKUP(A39,المدخلات!$G$41:$L$46,6,0),IF(المدخلات!$H$36="سنوي",VLOOKUP('التمويل التأجيري'!B39,المدخلات!$K$41:$L$46,2,0),""))),""))," ")</f>
        <v>736</v>
      </c>
      <c r="M39" s="6" t="str">
        <f>IF(B39&lt;&gt;"",IF(AND(المدخلات!$H$37="سنوي",MOD(B39,12)=0),المدخلات!$J$37,IF(AND(المدخلات!$H$37="القسط (الدفعة) الاول",B39=1),المدخلات!$J$37,IF(المدخلات!$H$37="شهري",المدخلات!$J$37,IF(AND(المدخلات!$H$37="End of the loan",B39=المدخلات!$E$39),المدخلات!$J$37,"")))),"")</f>
        <v/>
      </c>
      <c r="N39" s="6">
        <f t="shared" si="0"/>
        <v>736</v>
      </c>
      <c r="O39" s="4">
        <f t="shared" si="1"/>
        <v>5693.4165516832718</v>
      </c>
      <c r="S39" s="9">
        <f t="shared" si="2"/>
        <v>45960</v>
      </c>
      <c r="T39" s="5">
        <f t="shared" si="6"/>
        <v>5693.42</v>
      </c>
      <c r="U39" s="123"/>
      <c r="V39" s="97"/>
      <c r="W39" s="89"/>
    </row>
    <row r="40" spans="1:23" x14ac:dyDescent="0.2">
      <c r="A40" s="1">
        <f t="shared" si="11"/>
        <v>2</v>
      </c>
      <c r="B40" s="16">
        <f t="shared" si="7"/>
        <v>23</v>
      </c>
      <c r="C40" s="9">
        <f t="shared" si="8"/>
        <v>45991</v>
      </c>
      <c r="D40" s="6">
        <f>IFERROR(PPMT(المدخلات!$E$35/12,B40,$C$6,المدخلات!$E$34,-$C$13,0)," ")</f>
        <v>-4022.4228116109807</v>
      </c>
      <c r="E40" s="6">
        <f>IFERROR(IPMT(المدخلات!$E$35/12,B40,$C$6,المدخلات!$E$34,-$C$13,0)," ")</f>
        <v>-934.99374007229085</v>
      </c>
      <c r="F40" s="6">
        <f t="shared" si="9"/>
        <v>-88254.636641082296</v>
      </c>
      <c r="G40" s="6">
        <f t="shared" si="10"/>
        <v>-25765.944047632973</v>
      </c>
      <c r="H40" s="6">
        <f t="shared" si="4"/>
        <v>-4957.4165516832718</v>
      </c>
      <c r="I40" s="6">
        <f t="shared" si="5"/>
        <v>211745.3633589177</v>
      </c>
      <c r="J40" s="6" t="str">
        <f>IF(B40&lt;&gt;"",IF(AND(المدخلات!$H$34="سنوي",MOD(B40,12)=0),المدخلات!$J$34,IF(AND(المدخلات!$H$34="القسط (الدفعة) الاول",B40=1),المدخلات!$J$34,IF(المدخلات!$H$34="شهري",المدخلات!$J$34,""))),"")</f>
        <v/>
      </c>
      <c r="K40" s="6" t="str">
        <f>IF(B40&lt;&gt;"",IF(AND(المدخلات!$H$35="سنوي",MOD(B40,12)=0),المدخلات!$J$35,IF(AND(المدخلات!$H$35="القسط (الدفعة) الاول",B40=1),المدخلات!$J$35,IF(المدخلات!$H$35="شهري",المدخلات!$J$35,""))),"")</f>
        <v/>
      </c>
      <c r="L40" s="6">
        <f>IF(B40&lt;=$C$6,(_xlfn.IFNA(IF(AND(المدخلات!$H$36="القسط (الدفعة) الاول",B40=1),المدخلات!$I$36,IF(المدخلات!$H$36="شهري",VLOOKUP(A40,المدخلات!$G$41:$L$46,6,0),IF(المدخلات!$H$36="سنوي",VLOOKUP('التمويل التأجيري'!B40,المدخلات!$K$41:$L$46,2,0),""))),""))," ")</f>
        <v>736</v>
      </c>
      <c r="M40" s="6" t="str">
        <f>IF(B40&lt;&gt;"",IF(AND(المدخلات!$H$37="سنوي",MOD(B40,12)=0),المدخلات!$J$37,IF(AND(المدخلات!$H$37="القسط (الدفعة) الاول",B40=1),المدخلات!$J$37,IF(المدخلات!$H$37="شهري",المدخلات!$J$37,IF(AND(المدخلات!$H$37="End of the loan",B40=المدخلات!$E$39),المدخلات!$J$37,"")))),"")</f>
        <v/>
      </c>
      <c r="N40" s="6">
        <f t="shared" si="0"/>
        <v>736</v>
      </c>
      <c r="O40" s="4">
        <f t="shared" si="1"/>
        <v>5693.4165516832718</v>
      </c>
      <c r="S40" s="9">
        <f t="shared" si="2"/>
        <v>45991</v>
      </c>
      <c r="T40" s="5">
        <f t="shared" si="6"/>
        <v>5693.42</v>
      </c>
      <c r="U40" s="123"/>
      <c r="V40" s="97"/>
      <c r="W40" s="89"/>
    </row>
    <row r="41" spans="1:23" x14ac:dyDescent="0.2">
      <c r="A41" s="1">
        <f t="shared" si="11"/>
        <v>2</v>
      </c>
      <c r="B41" s="16">
        <f t="shared" si="7"/>
        <v>24</v>
      </c>
      <c r="C41" s="9">
        <f t="shared" si="8"/>
        <v>46021</v>
      </c>
      <c r="D41" s="6">
        <f>IFERROR(PPMT(المدخلات!$E$35/12,B41,$C$6,المدخلات!$E$34,-$C$13,0)," ")</f>
        <v>-4039.8533104612948</v>
      </c>
      <c r="E41" s="6">
        <f>IFERROR(IPMT(المدخلات!$E$35/12,B41,$C$6,المدخلات!$E$34,-$C$13,0)," ")</f>
        <v>-917.56324122197657</v>
      </c>
      <c r="F41" s="6">
        <f t="shared" si="9"/>
        <v>-92294.489951543597</v>
      </c>
      <c r="G41" s="6">
        <f t="shared" si="10"/>
        <v>-26683.507288854948</v>
      </c>
      <c r="H41" s="6">
        <f t="shared" si="4"/>
        <v>-4957.4165516832709</v>
      </c>
      <c r="I41" s="6">
        <f t="shared" si="5"/>
        <v>207705.5100484564</v>
      </c>
      <c r="J41" s="6" t="str">
        <f>IF(B41&lt;&gt;"",IF(AND(المدخلات!$H$34="سنوي",MOD(B41,12)=0),المدخلات!$J$34,IF(AND(المدخلات!$H$34="القسط (الدفعة) الاول",B41=1),المدخلات!$J$34,IF(المدخلات!$H$34="شهري",المدخلات!$J$34,""))),"")</f>
        <v/>
      </c>
      <c r="K41" s="6">
        <f>IF(B41&lt;&gt;"",IF(AND(المدخلات!$H$35="سنوي",MOD(B41,12)=0),المدخلات!$J$35,IF(AND(المدخلات!$H$35="القسط (الدفعة) الاول",B41=1),المدخلات!$J$35,IF(المدخلات!$H$35="شهري",المدخلات!$J$35,""))),"")</f>
        <v>0</v>
      </c>
      <c r="L41" s="6">
        <f>IF(B41&lt;=$C$6,(_xlfn.IFNA(IF(AND(المدخلات!$H$36="القسط (الدفعة) الاول",B41=1),المدخلات!$I$36,IF(المدخلات!$H$36="شهري",VLOOKUP(A41,المدخلات!$G$41:$L$46,6,0),IF(المدخلات!$H$36="سنوي",VLOOKUP('التمويل التأجيري'!B41,المدخلات!$K$41:$L$46,2,0),""))),""))," ")</f>
        <v>736</v>
      </c>
      <c r="M41" s="6" t="str">
        <f>IF(B41&lt;&gt;"",IF(AND(المدخلات!$H$37="سنوي",MOD(B41,12)=0),المدخلات!$J$37,IF(AND(المدخلات!$H$37="القسط (الدفعة) الاول",B41=1),المدخلات!$J$37,IF(المدخلات!$H$37="شهري",المدخلات!$J$37,IF(AND(المدخلات!$H$37="End of the loan",B41=المدخلات!$E$39),المدخلات!$J$37,"")))),"")</f>
        <v/>
      </c>
      <c r="N41" s="6">
        <f t="shared" si="0"/>
        <v>736</v>
      </c>
      <c r="O41" s="4">
        <f t="shared" si="1"/>
        <v>5693.4165516832709</v>
      </c>
      <c r="S41" s="9">
        <f t="shared" si="2"/>
        <v>46021</v>
      </c>
      <c r="T41" s="5">
        <f t="shared" si="6"/>
        <v>5693.42</v>
      </c>
      <c r="U41" s="123"/>
      <c r="V41" s="97"/>
      <c r="W41" s="89"/>
    </row>
    <row r="42" spans="1:23" x14ac:dyDescent="0.2">
      <c r="A42" s="1">
        <f>IF(B42&lt;&gt;"",3,"")</f>
        <v>3</v>
      </c>
      <c r="B42" s="16">
        <f t="shared" si="7"/>
        <v>25</v>
      </c>
      <c r="C42" s="9">
        <f t="shared" si="8"/>
        <v>46052</v>
      </c>
      <c r="D42" s="6">
        <f>IFERROR(PPMT(المدخلات!$E$35/12,B42,$C$6,المدخلات!$E$34,-$C$13,0)," ")</f>
        <v>-4057.3593414732941</v>
      </c>
      <c r="E42" s="6">
        <f>IFERROR(IPMT(المدخلات!$E$35/12,B42,$C$6,المدخلات!$E$34,-$C$13,0)," ")</f>
        <v>-900.05721020997771</v>
      </c>
      <c r="F42" s="6">
        <f t="shared" si="9"/>
        <v>-96351.849293016887</v>
      </c>
      <c r="G42" s="6">
        <f t="shared" si="10"/>
        <v>-27583.564499064923</v>
      </c>
      <c r="H42" s="6">
        <f t="shared" si="4"/>
        <v>-4957.4165516832718</v>
      </c>
      <c r="I42" s="6">
        <f t="shared" si="5"/>
        <v>203648.15070698311</v>
      </c>
      <c r="J42" s="6" t="str">
        <f>IF(B42&lt;&gt;"",IF(AND(المدخلات!$H$34="سنوي",MOD(B42,12)=0),المدخلات!$J$34,IF(AND(المدخلات!$H$34="القسط (الدفعة) الاول",B42=1),المدخلات!$J$34,IF(المدخلات!$H$34="شهري",المدخلات!$J$34,""))),"")</f>
        <v/>
      </c>
      <c r="K42" s="6" t="str">
        <f>IF(B42&lt;&gt;"",IF(AND(المدخلات!$H$35="سنوي",MOD(B42,12)=0),المدخلات!$J$35,IF(AND(المدخلات!$H$35="القسط (الدفعة) الاول",B42=1),المدخلات!$J$35,IF(المدخلات!$H$35="شهري",المدخلات!$J$35,""))),"")</f>
        <v/>
      </c>
      <c r="L42" s="6">
        <f>IF(B42&lt;=$C$6,(_xlfn.IFNA(IF(AND(المدخلات!$H$36="القسط (الدفعة) الاول",B42=1),المدخلات!$I$36,IF(المدخلات!$H$36="شهري",VLOOKUP(A42,المدخلات!$G$41:$L$46,6,0),IF(المدخلات!$H$36="سنوي",VLOOKUP('التمويل التأجيري'!B42,المدخلات!$K$41:$L$46,2,0),""))),""))," ")</f>
        <v>551.99999999999989</v>
      </c>
      <c r="M42" s="6" t="str">
        <f>IF(B42&lt;&gt;"",IF(AND(المدخلات!$H$37="سنوي",MOD(B42,12)=0),المدخلات!$J$37,IF(AND(المدخلات!$H$37="القسط (الدفعة) الاول",B42=1),المدخلات!$J$37,IF(المدخلات!$H$37="شهري",المدخلات!$J$37,IF(AND(المدخلات!$H$37="End of the loan",B42=المدخلات!$E$39),المدخلات!$J$37,"")))),"")</f>
        <v/>
      </c>
      <c r="N42" s="6">
        <f t="shared" si="0"/>
        <v>551.99999999999989</v>
      </c>
      <c r="O42" s="4">
        <f t="shared" si="1"/>
        <v>5509.4165516832718</v>
      </c>
      <c r="S42" s="9">
        <f t="shared" si="2"/>
        <v>46052</v>
      </c>
      <c r="T42" s="5">
        <f t="shared" si="6"/>
        <v>5509.42</v>
      </c>
      <c r="U42" s="123"/>
      <c r="V42" s="97"/>
      <c r="W42" s="89"/>
    </row>
    <row r="43" spans="1:23" x14ac:dyDescent="0.2">
      <c r="A43" s="1">
        <f t="shared" ref="A43:A53" si="12">IF(B43&lt;&gt;"",3,"")</f>
        <v>3</v>
      </c>
      <c r="B43" s="16">
        <f t="shared" si="7"/>
        <v>26</v>
      </c>
      <c r="C43" s="9">
        <f t="shared" si="8"/>
        <v>46081</v>
      </c>
      <c r="D43" s="6">
        <f>IFERROR(PPMT(المدخلات!$E$35/12,B43,$C$6,المدخلات!$E$34,-$C$13,0)," ")</f>
        <v>-4074.941231953012</v>
      </c>
      <c r="E43" s="6">
        <f>IFERROR(IPMT(المدخلات!$E$35/12,B43,$C$6,المدخلات!$E$34,-$C$13,0)," ")</f>
        <v>-882.47531973026003</v>
      </c>
      <c r="F43" s="6">
        <f t="shared" si="9"/>
        <v>-100426.7905249699</v>
      </c>
      <c r="G43" s="6">
        <f t="shared" si="10"/>
        <v>-28466.039818795183</v>
      </c>
      <c r="H43" s="6">
        <f t="shared" si="4"/>
        <v>-4957.4165516832718</v>
      </c>
      <c r="I43" s="6">
        <f t="shared" si="5"/>
        <v>199573.2094750301</v>
      </c>
      <c r="J43" s="6" t="str">
        <f>IF(B43&lt;&gt;"",IF(AND(المدخلات!$H$34="سنوي",MOD(B43,12)=0),المدخلات!$J$34,IF(AND(المدخلات!$H$34="القسط (الدفعة) الاول",B43=1),المدخلات!$J$34,IF(المدخلات!$H$34="شهري",المدخلات!$J$34,""))),"")</f>
        <v/>
      </c>
      <c r="K43" s="6" t="str">
        <f>IF(B43&lt;&gt;"",IF(AND(المدخلات!$H$35="سنوي",MOD(B43,12)=0),المدخلات!$J$35,IF(AND(المدخلات!$H$35="القسط (الدفعة) الاول",B43=1),المدخلات!$J$35,IF(المدخلات!$H$35="شهري",المدخلات!$J$35,""))),"")</f>
        <v/>
      </c>
      <c r="L43" s="6">
        <f>IF(B43&lt;=$C$6,(_xlfn.IFNA(IF(AND(المدخلات!$H$36="القسط (الدفعة) الاول",B43=1),المدخلات!$I$36,IF(المدخلات!$H$36="شهري",VLOOKUP(A43,المدخلات!$G$41:$L$46,6,0),IF(المدخلات!$H$36="سنوي",VLOOKUP('التمويل التأجيري'!B43,المدخلات!$K$41:$L$46,2,0),""))),""))," ")</f>
        <v>551.99999999999989</v>
      </c>
      <c r="M43" s="6" t="str">
        <f>IF(B43&lt;&gt;"",IF(AND(المدخلات!$H$37="سنوي",MOD(B43,12)=0),المدخلات!$J$37,IF(AND(المدخلات!$H$37="القسط (الدفعة) الاول",B43=1),المدخلات!$J$37,IF(المدخلات!$H$37="شهري",المدخلات!$J$37,IF(AND(المدخلات!$H$37="End of the loan",B43=المدخلات!$E$39),المدخلات!$J$37,"")))),"")</f>
        <v/>
      </c>
      <c r="N43" s="6">
        <f t="shared" si="0"/>
        <v>551.99999999999989</v>
      </c>
      <c r="O43" s="4">
        <f t="shared" si="1"/>
        <v>5509.4165516832718</v>
      </c>
      <c r="S43" s="9">
        <f t="shared" si="2"/>
        <v>46081</v>
      </c>
      <c r="T43" s="5">
        <f t="shared" si="6"/>
        <v>5509.42</v>
      </c>
      <c r="U43" s="123"/>
      <c r="V43" s="97"/>
      <c r="W43" s="89"/>
    </row>
    <row r="44" spans="1:23" x14ac:dyDescent="0.2">
      <c r="A44" s="1">
        <f t="shared" si="12"/>
        <v>3</v>
      </c>
      <c r="B44" s="16">
        <f t="shared" si="7"/>
        <v>27</v>
      </c>
      <c r="C44" s="9">
        <f t="shared" si="8"/>
        <v>46111</v>
      </c>
      <c r="D44" s="6">
        <f>IFERROR(PPMT(المدخلات!$E$35/12,B44,$C$6,المدخلات!$E$34,-$C$13,0)," ")</f>
        <v>-4092.5993106248084</v>
      </c>
      <c r="E44" s="6">
        <f>IFERROR(IPMT(المدخلات!$E$35/12,B44,$C$6,المدخلات!$E$34,-$C$13,0)," ")</f>
        <v>-864.81724105846365</v>
      </c>
      <c r="F44" s="6">
        <f t="shared" si="9"/>
        <v>-104519.3898355947</v>
      </c>
      <c r="G44" s="6">
        <f t="shared" si="10"/>
        <v>-29330.857059853646</v>
      </c>
      <c r="H44" s="6">
        <f t="shared" si="4"/>
        <v>-4957.4165516832718</v>
      </c>
      <c r="I44" s="6">
        <f t="shared" si="5"/>
        <v>195480.61016440531</v>
      </c>
      <c r="J44" s="6" t="str">
        <f>IF(B44&lt;&gt;"",IF(AND(المدخلات!$H$34="سنوي",MOD(B44,12)=0),المدخلات!$J$34,IF(AND(المدخلات!$H$34="القسط (الدفعة) الاول",B44=1),المدخلات!$J$34,IF(المدخلات!$H$34="شهري",المدخلات!$J$34,""))),"")</f>
        <v/>
      </c>
      <c r="K44" s="6" t="str">
        <f>IF(B44&lt;&gt;"",IF(AND(المدخلات!$H$35="سنوي",MOD(B44,12)=0),المدخلات!$J$35,IF(AND(المدخلات!$H$35="القسط (الدفعة) الاول",B44=1),المدخلات!$J$35,IF(المدخلات!$H$35="شهري",المدخلات!$J$35,""))),"")</f>
        <v/>
      </c>
      <c r="L44" s="6">
        <f>IF(B44&lt;=$C$6,(_xlfn.IFNA(IF(AND(المدخلات!$H$36="القسط (الدفعة) الاول",B44=1),المدخلات!$I$36,IF(المدخلات!$H$36="شهري",VLOOKUP(A44,المدخلات!$G$41:$L$46,6,0),IF(المدخلات!$H$36="سنوي",VLOOKUP('التمويل التأجيري'!B44,المدخلات!$K$41:$L$46,2,0),""))),""))," ")</f>
        <v>551.99999999999989</v>
      </c>
      <c r="M44" s="6" t="str">
        <f>IF(B44&lt;&gt;"",IF(AND(المدخلات!$H$37="سنوي",MOD(B44,12)=0),المدخلات!$J$37,IF(AND(المدخلات!$H$37="القسط (الدفعة) الاول",B44=1),المدخلات!$J$37,IF(المدخلات!$H$37="شهري",المدخلات!$J$37,IF(AND(المدخلات!$H$37="End of the loan",B44=المدخلات!$E$39),المدخلات!$J$37,"")))),"")</f>
        <v/>
      </c>
      <c r="N44" s="6">
        <f t="shared" si="0"/>
        <v>551.99999999999989</v>
      </c>
      <c r="O44" s="4">
        <f t="shared" si="1"/>
        <v>5509.4165516832718</v>
      </c>
      <c r="S44" s="9">
        <f t="shared" si="2"/>
        <v>46111</v>
      </c>
      <c r="T44" s="5">
        <f t="shared" si="6"/>
        <v>5509.42</v>
      </c>
      <c r="U44" s="123"/>
      <c r="V44" s="97"/>
      <c r="W44" s="89"/>
    </row>
    <row r="45" spans="1:23" x14ac:dyDescent="0.2">
      <c r="A45" s="1">
        <f t="shared" si="12"/>
        <v>3</v>
      </c>
      <c r="B45" s="16">
        <f t="shared" si="7"/>
        <v>28</v>
      </c>
      <c r="C45" s="9">
        <f t="shared" si="8"/>
        <v>46142</v>
      </c>
      <c r="D45" s="6">
        <f>IFERROR(PPMT(المدخلات!$E$35/12,B45,$C$6,المدخلات!$E$34,-$C$13,0)," ")</f>
        <v>-4110.333907637515</v>
      </c>
      <c r="E45" s="6">
        <f>IFERROR(IPMT(المدخلات!$E$35/12,B45,$C$6,المدخلات!$E$34,-$C$13,0)," ")</f>
        <v>-847.08264404575607</v>
      </c>
      <c r="F45" s="6">
        <f t="shared" si="9"/>
        <v>-108629.72374323221</v>
      </c>
      <c r="G45" s="6">
        <f t="shared" si="10"/>
        <v>-30177.939703899403</v>
      </c>
      <c r="H45" s="6">
        <f t="shared" si="4"/>
        <v>-4957.4165516832709</v>
      </c>
      <c r="I45" s="6">
        <f t="shared" si="5"/>
        <v>191370.2762567678</v>
      </c>
      <c r="J45" s="6" t="str">
        <f>IF(B45&lt;&gt;"",IF(AND(المدخلات!$H$34="سنوي",MOD(B45,12)=0),المدخلات!$J$34,IF(AND(المدخلات!$H$34="القسط (الدفعة) الاول",B45=1),المدخلات!$J$34,IF(المدخلات!$H$34="شهري",المدخلات!$J$34,""))),"")</f>
        <v/>
      </c>
      <c r="K45" s="6" t="str">
        <f>IF(B45&lt;&gt;"",IF(AND(المدخلات!$H$35="سنوي",MOD(B45,12)=0),المدخلات!$J$35,IF(AND(المدخلات!$H$35="القسط (الدفعة) الاول",B45=1),المدخلات!$J$35,IF(المدخلات!$H$35="شهري",المدخلات!$J$35,""))),"")</f>
        <v/>
      </c>
      <c r="L45" s="6">
        <f>IF(B45&lt;=$C$6,(_xlfn.IFNA(IF(AND(المدخلات!$H$36="القسط (الدفعة) الاول",B45=1),المدخلات!$I$36,IF(المدخلات!$H$36="شهري",VLOOKUP(A45,المدخلات!$G$41:$L$46,6,0),IF(المدخلات!$H$36="سنوي",VLOOKUP('التمويل التأجيري'!B45,المدخلات!$K$41:$L$46,2,0),""))),""))," ")</f>
        <v>551.99999999999989</v>
      </c>
      <c r="M45" s="6" t="str">
        <f>IF(B45&lt;&gt;"",IF(AND(المدخلات!$H$37="سنوي",MOD(B45,12)=0),المدخلات!$J$37,IF(AND(المدخلات!$H$37="القسط (الدفعة) الاول",B45=1),المدخلات!$J$37,IF(المدخلات!$H$37="شهري",المدخلات!$J$37,IF(AND(المدخلات!$H$37="End of the loan",B45=المدخلات!$E$39),المدخلات!$J$37,"")))),"")</f>
        <v/>
      </c>
      <c r="N45" s="6">
        <f t="shared" si="0"/>
        <v>551.99999999999989</v>
      </c>
      <c r="O45" s="4">
        <f t="shared" si="1"/>
        <v>5509.4165516832709</v>
      </c>
      <c r="S45" s="9">
        <f t="shared" si="2"/>
        <v>46142</v>
      </c>
      <c r="T45" s="5">
        <f t="shared" si="6"/>
        <v>5509.42</v>
      </c>
      <c r="U45" s="123"/>
      <c r="V45" s="97"/>
      <c r="W45" s="89"/>
    </row>
    <row r="46" spans="1:23" x14ac:dyDescent="0.2">
      <c r="A46" s="1">
        <f t="shared" si="12"/>
        <v>3</v>
      </c>
      <c r="B46" s="16">
        <f t="shared" si="7"/>
        <v>29</v>
      </c>
      <c r="C46" s="9">
        <f t="shared" si="8"/>
        <v>46172</v>
      </c>
      <c r="D46" s="6">
        <f>IFERROR(PPMT(المدخلات!$E$35/12,B46,$C$6,المدخلات!$E$34,-$C$13,0)," ")</f>
        <v>-4128.1453545706117</v>
      </c>
      <c r="E46" s="6">
        <f>IFERROR(IPMT(المدخلات!$E$35/12,B46,$C$6,المدخلات!$E$34,-$C$13,0)," ")</f>
        <v>-829.27119711266027</v>
      </c>
      <c r="F46" s="6">
        <f t="shared" si="9"/>
        <v>-112757.86909780283</v>
      </c>
      <c r="G46" s="6">
        <f t="shared" si="10"/>
        <v>-31007.210901012062</v>
      </c>
      <c r="H46" s="6">
        <f t="shared" si="4"/>
        <v>-4957.4165516832718</v>
      </c>
      <c r="I46" s="6">
        <f t="shared" si="5"/>
        <v>187242.13090219715</v>
      </c>
      <c r="J46" s="6" t="str">
        <f>IF(B46&lt;&gt;"",IF(AND(المدخلات!$H$34="سنوي",MOD(B46,12)=0),المدخلات!$J$34,IF(AND(المدخلات!$H$34="القسط (الدفعة) الاول",B46=1),المدخلات!$J$34,IF(المدخلات!$H$34="شهري",المدخلات!$J$34,""))),"")</f>
        <v/>
      </c>
      <c r="K46" s="6" t="str">
        <f>IF(B46&lt;&gt;"",IF(AND(المدخلات!$H$35="سنوي",MOD(B46,12)=0),المدخلات!$J$35,IF(AND(المدخلات!$H$35="القسط (الدفعة) الاول",B46=1),المدخلات!$J$35,IF(المدخلات!$H$35="شهري",المدخلات!$J$35,""))),"")</f>
        <v/>
      </c>
      <c r="L46" s="6">
        <f>IF(B46&lt;=$C$6,(_xlfn.IFNA(IF(AND(المدخلات!$H$36="القسط (الدفعة) الاول",B46=1),المدخلات!$I$36,IF(المدخلات!$H$36="شهري",VLOOKUP(A46,المدخلات!$G$41:$L$46,6,0),IF(المدخلات!$H$36="سنوي",VLOOKUP('التمويل التأجيري'!B46,المدخلات!$K$41:$L$46,2,0),""))),""))," ")</f>
        <v>551.99999999999989</v>
      </c>
      <c r="M46" s="6" t="str">
        <f>IF(B46&lt;&gt;"",IF(AND(المدخلات!$H$37="سنوي",MOD(B46,12)=0),المدخلات!$J$37,IF(AND(المدخلات!$H$37="القسط (الدفعة) الاول",B46=1),المدخلات!$J$37,IF(المدخلات!$H$37="شهري",المدخلات!$J$37,IF(AND(المدخلات!$H$37="End of the loan",B46=المدخلات!$E$39),المدخلات!$J$37,"")))),"")</f>
        <v/>
      </c>
      <c r="N46" s="6">
        <f t="shared" si="0"/>
        <v>551.99999999999989</v>
      </c>
      <c r="O46" s="4">
        <f t="shared" si="1"/>
        <v>5509.4165516832718</v>
      </c>
      <c r="S46" s="9">
        <f t="shared" si="2"/>
        <v>46172</v>
      </c>
      <c r="T46" s="5">
        <f t="shared" si="6"/>
        <v>5509.42</v>
      </c>
      <c r="U46" s="123"/>
      <c r="V46" s="97"/>
      <c r="W46" s="89"/>
    </row>
    <row r="47" spans="1:23" x14ac:dyDescent="0.2">
      <c r="A47" s="1">
        <f t="shared" si="12"/>
        <v>3</v>
      </c>
      <c r="B47" s="16">
        <f t="shared" si="7"/>
        <v>30</v>
      </c>
      <c r="C47" s="9">
        <f t="shared" si="8"/>
        <v>46203</v>
      </c>
      <c r="D47" s="6">
        <f>IFERROR(PPMT(المدخلات!$E$35/12,B47,$C$6,المدخلات!$E$34,-$C$13,0)," ")</f>
        <v>-4146.033984440417</v>
      </c>
      <c r="E47" s="6">
        <f>IFERROR(IPMT(المدخلات!$E$35/12,B47,$C$6,المدخلات!$E$34,-$C$13,0)," ")</f>
        <v>-811.38256724285429</v>
      </c>
      <c r="F47" s="6">
        <f t="shared" si="9"/>
        <v>-116903.90308224325</v>
      </c>
      <c r="G47" s="6">
        <f t="shared" si="10"/>
        <v>-31818.593468254916</v>
      </c>
      <c r="H47" s="6">
        <f t="shared" si="4"/>
        <v>-4957.4165516832709</v>
      </c>
      <c r="I47" s="6">
        <f t="shared" si="5"/>
        <v>183096.09691775675</v>
      </c>
      <c r="J47" s="6" t="str">
        <f>IF(B47&lt;&gt;"",IF(AND(المدخلات!$H$34="سنوي",MOD(B47,12)=0),المدخلات!$J$34,IF(AND(المدخلات!$H$34="القسط (الدفعة) الاول",B47=1),المدخلات!$J$34,IF(المدخلات!$H$34="شهري",المدخلات!$J$34,""))),"")</f>
        <v/>
      </c>
      <c r="K47" s="6" t="str">
        <f>IF(B47&lt;&gt;"",IF(AND(المدخلات!$H$35="سنوي",MOD(B47,12)=0),المدخلات!$J$35,IF(AND(المدخلات!$H$35="القسط (الدفعة) الاول",B47=1),المدخلات!$J$35,IF(المدخلات!$H$35="شهري",المدخلات!$J$35,""))),"")</f>
        <v/>
      </c>
      <c r="L47" s="6">
        <f>IF(B47&lt;=$C$6,(_xlfn.IFNA(IF(AND(المدخلات!$H$36="القسط (الدفعة) الاول",B47=1),المدخلات!$I$36,IF(المدخلات!$H$36="شهري",VLOOKUP(A47,المدخلات!$G$41:$L$46,6,0),IF(المدخلات!$H$36="سنوي",VLOOKUP('التمويل التأجيري'!B47,المدخلات!$K$41:$L$46,2,0),""))),""))," ")</f>
        <v>551.99999999999989</v>
      </c>
      <c r="M47" s="6" t="str">
        <f>IF(B47&lt;&gt;"",IF(AND(المدخلات!$H$37="سنوي",MOD(B47,12)=0),المدخلات!$J$37,IF(AND(المدخلات!$H$37="القسط (الدفعة) الاول",B47=1),المدخلات!$J$37,IF(المدخلات!$H$37="شهري",المدخلات!$J$37,IF(AND(المدخلات!$H$37="End of the loan",B47=المدخلات!$E$39),المدخلات!$J$37,"")))),"")</f>
        <v/>
      </c>
      <c r="N47" s="6">
        <f t="shared" si="0"/>
        <v>551.99999999999989</v>
      </c>
      <c r="O47" s="4">
        <f t="shared" si="1"/>
        <v>5509.4165516832709</v>
      </c>
      <c r="S47" s="9">
        <f t="shared" si="2"/>
        <v>46203</v>
      </c>
      <c r="T47" s="5">
        <f t="shared" si="6"/>
        <v>5509.42</v>
      </c>
      <c r="U47" s="123"/>
      <c r="V47" s="97"/>
      <c r="W47" s="89"/>
    </row>
    <row r="48" spans="1:23" x14ac:dyDescent="0.2">
      <c r="A48" s="1">
        <f t="shared" si="12"/>
        <v>3</v>
      </c>
      <c r="B48" s="16">
        <f t="shared" si="7"/>
        <v>31</v>
      </c>
      <c r="C48" s="9">
        <f t="shared" si="8"/>
        <v>46233</v>
      </c>
      <c r="D48" s="6">
        <f>IFERROR(PPMT(المدخلات!$E$35/12,B48,$C$6,المدخلات!$E$34,-$C$13,0)," ")</f>
        <v>-4164.0001317063261</v>
      </c>
      <c r="E48" s="6">
        <f>IFERROR(IPMT(المدخلات!$E$35/12,B48,$C$6,المدخلات!$E$34,-$C$13,0)," ")</f>
        <v>-793.41641997694569</v>
      </c>
      <c r="F48" s="6">
        <f t="shared" si="9"/>
        <v>-121067.90321394958</v>
      </c>
      <c r="G48" s="6">
        <f t="shared" si="10"/>
        <v>-32612.009888231863</v>
      </c>
      <c r="H48" s="6">
        <f t="shared" si="4"/>
        <v>-4957.4165516832718</v>
      </c>
      <c r="I48" s="6">
        <f>+IFERROR($C$8+F48,"")</f>
        <v>178932.09678605042</v>
      </c>
      <c r="J48" s="6" t="str">
        <f>IF(B48&lt;&gt;"",IF(AND(المدخلات!$H$34="سنوي",MOD(B48,12)=0),المدخلات!$J$34,IF(AND(المدخلات!$H$34="القسط (الدفعة) الاول",B48=1),المدخلات!$J$34,IF(المدخلات!$H$34="شهري",المدخلات!$J$34,""))),"")</f>
        <v/>
      </c>
      <c r="K48" s="6" t="str">
        <f>IF(B48&lt;&gt;"",IF(AND(المدخلات!$H$35="سنوي",MOD(B48,12)=0),المدخلات!$J$35,IF(AND(المدخلات!$H$35="القسط (الدفعة) الاول",B48=1),المدخلات!$J$35,IF(المدخلات!$H$35="شهري",المدخلات!$J$35,""))),"")</f>
        <v/>
      </c>
      <c r="L48" s="6">
        <f>IF(B48&lt;=$C$6,(_xlfn.IFNA(IF(AND(المدخلات!$H$36="القسط (الدفعة) الاول",B48=1),المدخلات!$I$36,IF(المدخلات!$H$36="شهري",VLOOKUP(A48,المدخلات!$G$41:$L$46,6,0),IF(المدخلات!$H$36="سنوي",VLOOKUP('التمويل التأجيري'!B48,المدخلات!$K$41:$L$46,2,0),""))),""))," ")</f>
        <v>551.99999999999989</v>
      </c>
      <c r="M48" s="6" t="str">
        <f>IF(B48&lt;&gt;"",IF(AND(المدخلات!$H$37="سنوي",MOD(B48,12)=0),المدخلات!$J$37,IF(AND(المدخلات!$H$37="القسط (الدفعة) الاول",B48=1),المدخلات!$J$37,IF(المدخلات!$H$37="شهري",المدخلات!$J$37,IF(AND(المدخلات!$H$37="End of the loan",B48=المدخلات!$E$39),المدخلات!$J$37,"")))),"")</f>
        <v/>
      </c>
      <c r="N48" s="6">
        <f t="shared" si="0"/>
        <v>551.99999999999989</v>
      </c>
      <c r="O48" s="4">
        <f>IF(B48&lt;&gt;"",(-H48+N48),"")</f>
        <v>5509.4165516832718</v>
      </c>
      <c r="S48" s="9">
        <f t="shared" si="2"/>
        <v>46233</v>
      </c>
      <c r="T48" s="5">
        <f t="shared" si="6"/>
        <v>5509.42</v>
      </c>
      <c r="U48" s="123"/>
      <c r="V48" s="97"/>
    </row>
    <row r="49" spans="1:22" x14ac:dyDescent="0.2">
      <c r="A49" s="1">
        <f t="shared" si="12"/>
        <v>3</v>
      </c>
      <c r="B49" s="16">
        <f t="shared" si="7"/>
        <v>32</v>
      </c>
      <c r="C49" s="9">
        <f t="shared" si="8"/>
        <v>46264</v>
      </c>
      <c r="D49" s="6">
        <f>IFERROR(PPMT(المدخلات!$E$35/12,B49,$C$6,المدخلات!$E$34,-$C$13,0)," ")</f>
        <v>-4182.044132277053</v>
      </c>
      <c r="E49" s="6">
        <f>IFERROR(IPMT(المدخلات!$E$35/12,B49,$C$6,المدخلات!$E$34,-$C$13,0)," ")</f>
        <v>-775.37241940621846</v>
      </c>
      <c r="F49" s="6">
        <f t="shared" si="9"/>
        <v>-125249.94734622663</v>
      </c>
      <c r="G49" s="6">
        <f t="shared" si="10"/>
        <v>-33387.38230763808</v>
      </c>
      <c r="H49" s="6">
        <f t="shared" si="4"/>
        <v>-4957.4165516832718</v>
      </c>
      <c r="I49" s="6">
        <f t="shared" si="5"/>
        <v>174750.05265377337</v>
      </c>
      <c r="J49" s="6" t="str">
        <f>IF(B49&lt;&gt;"",IF(AND(المدخلات!$H$34="سنوي",MOD(B49,12)=0),المدخلات!$J$34,IF(AND(المدخلات!$H$34="القسط (الدفعة) الاول",B49=1),المدخلات!$J$34,IF(المدخلات!$H$34="شهري",المدخلات!$J$34,""))),"")</f>
        <v/>
      </c>
      <c r="K49" s="6" t="str">
        <f>IF(B49&lt;&gt;"",IF(AND(المدخلات!$H$35="سنوي",MOD(B49,12)=0),المدخلات!$J$35,IF(AND(المدخلات!$H$35="القسط (الدفعة) الاول",B49=1),المدخلات!$J$35,IF(المدخلات!$H$35="شهري",المدخلات!$J$35,""))),"")</f>
        <v/>
      </c>
      <c r="L49" s="6">
        <f>IF(B49&lt;=$C$6,(_xlfn.IFNA(IF(AND(المدخلات!$H$36="القسط (الدفعة) الاول",B49=1),المدخلات!$I$36,IF(المدخلات!$H$36="شهري",VLOOKUP(A49,المدخلات!$G$41:$L$46,6,0),IF(المدخلات!$H$36="سنوي",VLOOKUP('التمويل التأجيري'!B49,المدخلات!$K$41:$L$46,2,0),""))),""))," ")</f>
        <v>551.99999999999989</v>
      </c>
      <c r="M49" s="6" t="str">
        <f>IF(B49&lt;&gt;"",IF(AND(المدخلات!$H$37="سنوي",MOD(B49,12)=0),المدخلات!$J$37,IF(AND(المدخلات!$H$37="القسط (الدفعة) الاول",B49=1),المدخلات!$J$37,IF(المدخلات!$H$37="شهري",المدخلات!$J$37,IF(AND(المدخلات!$H$37="End of the loan",B49=المدخلات!$E$39),المدخلات!$J$37,"")))),"")</f>
        <v/>
      </c>
      <c r="N49" s="6">
        <f t="shared" ref="N49:N77" si="13">IF(B49&lt;&gt;"",SUM(J49:M49),"")</f>
        <v>551.99999999999989</v>
      </c>
      <c r="O49" s="4">
        <f t="shared" si="1"/>
        <v>5509.4165516832718</v>
      </c>
      <c r="S49" s="9">
        <f t="shared" si="2"/>
        <v>46264</v>
      </c>
      <c r="T49" s="5">
        <f t="shared" si="6"/>
        <v>5509.42</v>
      </c>
      <c r="U49" s="123"/>
      <c r="V49" s="97"/>
    </row>
    <row r="50" spans="1:22" x14ac:dyDescent="0.2">
      <c r="A50" s="1">
        <f t="shared" si="12"/>
        <v>3</v>
      </c>
      <c r="B50" s="16">
        <f t="shared" si="7"/>
        <v>33</v>
      </c>
      <c r="C50" s="9">
        <f t="shared" si="8"/>
        <v>46295</v>
      </c>
      <c r="D50" s="6">
        <f>IFERROR(PPMT(المدخلات!$E$35/12,B50,$C$6,المدخلات!$E$34,-$C$13,0)," ")</f>
        <v>-4200.1663235169208</v>
      </c>
      <c r="E50" s="6">
        <f>IFERROR(IPMT(المدخلات!$E$35/12,B50,$C$6,المدخلات!$E$34,-$C$13,0)," ")</f>
        <v>-757.25022816635112</v>
      </c>
      <c r="F50" s="6">
        <f t="shared" si="9"/>
        <v>-129450.11366974356</v>
      </c>
      <c r="G50" s="6">
        <f t="shared" si="10"/>
        <v>-34144.632535804434</v>
      </c>
      <c r="H50" s="6">
        <f t="shared" si="4"/>
        <v>-4957.4165516832718</v>
      </c>
      <c r="I50" s="6">
        <f t="shared" si="5"/>
        <v>170549.88633025644</v>
      </c>
      <c r="J50" s="6" t="str">
        <f>IF(B50&lt;&gt;"",IF(AND(المدخلات!$H$34="سنوي",MOD(B50,12)=0),المدخلات!$J$34,IF(AND(المدخلات!$H$34="القسط (الدفعة) الاول",B50=1),المدخلات!$J$34,IF(المدخلات!$H$34="شهري",المدخلات!$J$34,""))),"")</f>
        <v/>
      </c>
      <c r="K50" s="6" t="str">
        <f>IF(B50&lt;&gt;"",IF(AND(المدخلات!$H$35="سنوي",MOD(B50,12)=0),المدخلات!$J$35,IF(AND(المدخلات!$H$35="القسط (الدفعة) الاول",B50=1),المدخلات!$J$35,IF(المدخلات!$H$35="شهري",المدخلات!$J$35,""))),"")</f>
        <v/>
      </c>
      <c r="L50" s="6">
        <f>IF(B50&lt;=$C$6,(_xlfn.IFNA(IF(AND(المدخلات!$H$36="القسط (الدفعة) الاول",B50=1),المدخلات!$I$36,IF(المدخلات!$H$36="شهري",VLOOKUP(A50,المدخلات!$G$41:$L$46,6,0),IF(المدخلات!$H$36="سنوي",VLOOKUP('التمويل التأجيري'!B50,المدخلات!$K$41:$L$46,2,0),""))),""))," ")</f>
        <v>551.99999999999989</v>
      </c>
      <c r="M50" s="6" t="str">
        <f>IF(B50&lt;&gt;"",IF(AND(المدخلات!$H$37="سنوي",MOD(B50,12)=0),المدخلات!$J$37,IF(AND(المدخلات!$H$37="القسط (الدفعة) الاول",B50=1),المدخلات!$J$37,IF(المدخلات!$H$37="شهري",المدخلات!$J$37,IF(AND(المدخلات!$H$37="End of the loan",B50=المدخلات!$E$39),المدخلات!$J$37,"")))),"")</f>
        <v/>
      </c>
      <c r="N50" s="6">
        <f t="shared" si="13"/>
        <v>551.99999999999989</v>
      </c>
      <c r="O50" s="4">
        <f t="shared" si="1"/>
        <v>5509.4165516832718</v>
      </c>
      <c r="S50" s="9">
        <f t="shared" si="2"/>
        <v>46295</v>
      </c>
      <c r="T50" s="5">
        <f t="shared" si="6"/>
        <v>5509.42</v>
      </c>
      <c r="U50" s="123"/>
      <c r="V50" s="97"/>
    </row>
    <row r="51" spans="1:22" x14ac:dyDescent="0.2">
      <c r="A51" s="1">
        <f t="shared" si="12"/>
        <v>3</v>
      </c>
      <c r="B51" s="16">
        <f t="shared" si="7"/>
        <v>34</v>
      </c>
      <c r="C51" s="9">
        <f t="shared" si="8"/>
        <v>46325</v>
      </c>
      <c r="D51" s="6">
        <f>IFERROR(PPMT(المدخلات!$E$35/12,B51,$C$6,المدخلات!$E$34,-$C$13,0)," ")</f>
        <v>-4218.3670442521607</v>
      </c>
      <c r="E51" s="6">
        <f>IFERROR(IPMT(المدخلات!$E$35/12,B51,$C$6,المدخلات!$E$34,-$C$13,0)," ")</f>
        <v>-739.04950743111112</v>
      </c>
      <c r="F51" s="6">
        <f t="shared" si="9"/>
        <v>-133668.48071399573</v>
      </c>
      <c r="G51" s="6">
        <f t="shared" si="10"/>
        <v>-34883.682043235545</v>
      </c>
      <c r="H51" s="6">
        <f t="shared" si="4"/>
        <v>-4957.4165516832718</v>
      </c>
      <c r="I51" s="6">
        <f t="shared" si="5"/>
        <v>166331.51928600427</v>
      </c>
      <c r="J51" s="6" t="str">
        <f>IF(B51&lt;&gt;"",IF(AND(المدخلات!$H$34="سنوي",MOD(B51,12)=0),المدخلات!$J$34,IF(AND(المدخلات!$H$34="القسط (الدفعة) الاول",B51=1),المدخلات!$J$34,IF(المدخلات!$H$34="شهري",المدخلات!$J$34,""))),"")</f>
        <v/>
      </c>
      <c r="K51" s="6" t="str">
        <f>IF(B51&lt;&gt;"",IF(AND(المدخلات!$H$35="سنوي",MOD(B51,12)=0),المدخلات!$J$35,IF(AND(المدخلات!$H$35="القسط (الدفعة) الاول",B51=1),المدخلات!$J$35,IF(المدخلات!$H$35="شهري",المدخلات!$J$35,""))),"")</f>
        <v/>
      </c>
      <c r="L51" s="6">
        <f>IF(B51&lt;=$C$6,(_xlfn.IFNA(IF(AND(المدخلات!$H$36="القسط (الدفعة) الاول",B51=1),المدخلات!$I$36,IF(المدخلات!$H$36="شهري",VLOOKUP(A51,المدخلات!$G$41:$L$46,6,0),IF(المدخلات!$H$36="سنوي",VLOOKUP('التمويل التأجيري'!B51,المدخلات!$K$41:$L$46,2,0),""))),""))," ")</f>
        <v>551.99999999999989</v>
      </c>
      <c r="M51" s="6" t="str">
        <f>IF(B51&lt;&gt;"",IF(AND(المدخلات!$H$37="سنوي",MOD(B51,12)=0),المدخلات!$J$37,IF(AND(المدخلات!$H$37="القسط (الدفعة) الاول",B51=1),المدخلات!$J$37,IF(المدخلات!$H$37="شهري",المدخلات!$J$37,IF(AND(المدخلات!$H$37="End of the loan",B51=المدخلات!$E$39),المدخلات!$J$37,"")))),"")</f>
        <v/>
      </c>
      <c r="N51" s="6">
        <f t="shared" si="13"/>
        <v>551.99999999999989</v>
      </c>
      <c r="O51" s="4">
        <f t="shared" si="1"/>
        <v>5509.4165516832718</v>
      </c>
      <c r="S51" s="9">
        <f t="shared" si="2"/>
        <v>46325</v>
      </c>
      <c r="T51" s="5">
        <f t="shared" si="6"/>
        <v>5509.42</v>
      </c>
      <c r="U51" s="123"/>
      <c r="V51" s="97"/>
    </row>
    <row r="52" spans="1:22" x14ac:dyDescent="0.2">
      <c r="A52" s="1">
        <f t="shared" si="12"/>
        <v>3</v>
      </c>
      <c r="B52" s="16">
        <f t="shared" si="7"/>
        <v>35</v>
      </c>
      <c r="C52" s="9">
        <f t="shared" si="8"/>
        <v>46356</v>
      </c>
      <c r="D52" s="6">
        <f>IFERROR(PPMT(المدخلات!$E$35/12,B52,$C$6,المدخلات!$E$34,-$C$13,0)," ")</f>
        <v>-4236.646634777253</v>
      </c>
      <c r="E52" s="6">
        <f>IFERROR(IPMT(المدخلات!$E$35/12,B52,$C$6,المدخلات!$E$34,-$C$13,0)," ")</f>
        <v>-720.76991690601847</v>
      </c>
      <c r="F52" s="6">
        <f t="shared" si="9"/>
        <v>-137905.12734877298</v>
      </c>
      <c r="G52" s="6">
        <f t="shared" si="10"/>
        <v>-35604.451960141567</v>
      </c>
      <c r="H52" s="6">
        <f t="shared" si="4"/>
        <v>-4957.4165516832718</v>
      </c>
      <c r="I52" s="6">
        <f t="shared" si="5"/>
        <v>162094.87265122702</v>
      </c>
      <c r="J52" s="6" t="str">
        <f>IF(B52&lt;&gt;"",IF(AND(المدخلات!$H$34="سنوي",MOD(B52,12)=0),المدخلات!$J$34,IF(AND(المدخلات!$H$34="القسط (الدفعة) الاول",B52=1),المدخلات!$J$34,IF(المدخلات!$H$34="شهري",المدخلات!$J$34,""))),"")</f>
        <v/>
      </c>
      <c r="K52" s="6" t="str">
        <f>IF(B52&lt;&gt;"",IF(AND(المدخلات!$H$35="سنوي",MOD(B52,12)=0),المدخلات!$J$35,IF(AND(المدخلات!$H$35="القسط (الدفعة) الاول",B52=1),المدخلات!$J$35,IF(المدخلات!$H$35="شهري",المدخلات!$J$35,""))),"")</f>
        <v/>
      </c>
      <c r="L52" s="6">
        <f>IF(B52&lt;=$C$6,(_xlfn.IFNA(IF(AND(المدخلات!$H$36="القسط (الدفعة) الاول",B52=1),المدخلات!$I$36,IF(المدخلات!$H$36="شهري",VLOOKUP(A52,المدخلات!$G$41:$L$46,6,0),IF(المدخلات!$H$36="سنوي",VLOOKUP('التمويل التأجيري'!B52,المدخلات!$K$41:$L$46,2,0),""))),""))," ")</f>
        <v>551.99999999999989</v>
      </c>
      <c r="M52" s="6" t="str">
        <f>IF(B52&lt;&gt;"",IF(AND(المدخلات!$H$37="سنوي",MOD(B52,12)=0),المدخلات!$J$37,IF(AND(المدخلات!$H$37="القسط (الدفعة) الاول",B52=1),المدخلات!$J$37,IF(المدخلات!$H$37="شهري",المدخلات!$J$37,IF(AND(المدخلات!$H$37="End of the loan",B52=المدخلات!$E$39),المدخلات!$J$37,"")))),"")</f>
        <v/>
      </c>
      <c r="N52" s="6">
        <f t="shared" si="13"/>
        <v>551.99999999999989</v>
      </c>
      <c r="O52" s="4">
        <f t="shared" si="1"/>
        <v>5509.4165516832718</v>
      </c>
      <c r="S52" s="9">
        <f t="shared" si="2"/>
        <v>46356</v>
      </c>
      <c r="T52" s="5">
        <f t="shared" si="6"/>
        <v>5509.42</v>
      </c>
      <c r="U52" s="123"/>
      <c r="V52" s="97"/>
    </row>
    <row r="53" spans="1:22" x14ac:dyDescent="0.2">
      <c r="A53" s="1">
        <f t="shared" si="12"/>
        <v>3</v>
      </c>
      <c r="B53" s="16">
        <f t="shared" si="7"/>
        <v>36</v>
      </c>
      <c r="C53" s="9">
        <f t="shared" si="8"/>
        <v>46386</v>
      </c>
      <c r="D53" s="6">
        <f>IFERROR(PPMT(المدخلات!$E$35/12,B53,$C$6,المدخلات!$E$34,-$C$13,0)," ")</f>
        <v>-4255.0054368612882</v>
      </c>
      <c r="E53" s="6">
        <f>IFERROR(IPMT(المدخلات!$E$35/12,B53,$C$6,المدخلات!$E$34,-$C$13,0)," ")</f>
        <v>-702.41111482198369</v>
      </c>
      <c r="F53" s="6">
        <f t="shared" si="9"/>
        <v>-142160.13278563425</v>
      </c>
      <c r="G53" s="6">
        <f t="shared" si="10"/>
        <v>-36306.863074963549</v>
      </c>
      <c r="H53" s="6">
        <f t="shared" si="4"/>
        <v>-4957.4165516832718</v>
      </c>
      <c r="I53" s="6">
        <f t="shared" si="5"/>
        <v>157839.86721436575</v>
      </c>
      <c r="J53" s="6" t="str">
        <f>IF(B53&lt;&gt;"",IF(AND(المدخلات!$H$34="سنوي",MOD(B53,12)=0),المدخلات!$J$34,IF(AND(المدخلات!$H$34="القسط (الدفعة) الاول",B53=1),المدخلات!$J$34,IF(المدخلات!$H$34="شهري",المدخلات!$J$34,""))),"")</f>
        <v/>
      </c>
      <c r="K53" s="6">
        <f>IF(B53&lt;&gt;"",IF(AND(المدخلات!$H$35="سنوي",MOD(B53,12)=0),المدخلات!$J$35,IF(AND(المدخلات!$H$35="القسط (الدفعة) الاول",B53=1),المدخلات!$J$35,IF(المدخلات!$H$35="شهري",المدخلات!$J$35,""))),"")</f>
        <v>0</v>
      </c>
      <c r="L53" s="6">
        <f>IF(B53&lt;=$C$6,(_xlfn.IFNA(IF(AND(المدخلات!$H$36="القسط (الدفعة) الاول",B53=1),المدخلات!$I$36,IF(المدخلات!$H$36="شهري",VLOOKUP(A53,المدخلات!$G$41:$L$46,6,0),IF(المدخلات!$H$36="سنوي",VLOOKUP('التمويل التأجيري'!B53,المدخلات!$K$41:$L$46,2,0),""))),""))," ")</f>
        <v>551.99999999999989</v>
      </c>
      <c r="M53" s="6" t="str">
        <f>IF(B53&lt;&gt;"",IF(AND(المدخلات!$H$37="سنوي",MOD(B53,12)=0),المدخلات!$J$37,IF(AND(المدخلات!$H$37="القسط (الدفعة) الاول",B53=1),المدخلات!$J$37,IF(المدخلات!$H$37="شهري",المدخلات!$J$37,IF(AND(المدخلات!$H$37="End of the loan",B53=المدخلات!$E$39),المدخلات!$J$37,"")))),"")</f>
        <v/>
      </c>
      <c r="N53" s="6">
        <f t="shared" si="13"/>
        <v>551.99999999999989</v>
      </c>
      <c r="O53" s="4">
        <f t="shared" si="1"/>
        <v>5509.4165516832718</v>
      </c>
      <c r="S53" s="9">
        <f t="shared" si="2"/>
        <v>46386</v>
      </c>
      <c r="T53" s="5">
        <f t="shared" si="6"/>
        <v>5509.42</v>
      </c>
      <c r="U53" s="123"/>
      <c r="V53" s="97"/>
    </row>
    <row r="54" spans="1:22" x14ac:dyDescent="0.2">
      <c r="A54" s="1">
        <f>IF(B54&lt;&gt;"",4,"")</f>
        <v>4</v>
      </c>
      <c r="B54" s="16">
        <f t="shared" si="7"/>
        <v>37</v>
      </c>
      <c r="C54" s="9">
        <f t="shared" si="8"/>
        <v>46417</v>
      </c>
      <c r="D54" s="6">
        <f>IFERROR(PPMT(المدخلات!$E$35/12,B54,$C$6,المدخلات!$E$34,-$C$13,0)," ")</f>
        <v>-4273.4437937543535</v>
      </c>
      <c r="E54" s="6">
        <f>IFERROR(IPMT(المدخلات!$E$35/12,B54,$C$6,المدخلات!$E$34,-$C$13,0)," ")</f>
        <v>-683.9727579289181</v>
      </c>
      <c r="F54" s="6">
        <f t="shared" si="9"/>
        <v>-146433.57657938861</v>
      </c>
      <c r="G54" s="6">
        <f t="shared" si="10"/>
        <v>-36990.835832892466</v>
      </c>
      <c r="H54" s="6">
        <f t="shared" si="4"/>
        <v>-4957.4165516832718</v>
      </c>
      <c r="I54" s="6">
        <f t="shared" si="5"/>
        <v>153566.42342061139</v>
      </c>
      <c r="J54" s="6" t="str">
        <f>IF(B54&lt;&gt;"",IF(AND(المدخلات!$H$34="سنوي",MOD(B54,12)=0),المدخلات!$J$34,IF(AND(المدخلات!$H$34="القسط (الدفعة) الاول",B54=1),المدخلات!$J$34,IF(المدخلات!$H$34="شهري",المدخلات!$J$34,""))),"")</f>
        <v/>
      </c>
      <c r="K54" s="6" t="str">
        <f>IF(B54&lt;&gt;"",IF(AND(المدخلات!$H$35="سنوي",MOD(B54,12)=0),المدخلات!$J$35,IF(AND(المدخلات!$H$35="القسط (الدفعة) الاول",B54=1),المدخلات!$J$35,IF(المدخلات!$H$35="شهري",المدخلات!$J$35,""))),"")</f>
        <v/>
      </c>
      <c r="L54" s="6">
        <f>IF(B54&lt;=$C$6,(_xlfn.IFNA(IF(AND(المدخلات!$H$36="القسط (الدفعة) الاول",B54=1),المدخلات!$I$36,IF(المدخلات!$H$36="شهري",VLOOKUP(A54,المدخلات!$G$41:$L$46,6,0),IF(المدخلات!$H$36="سنوي",VLOOKUP('التمويل التأجيري'!B54,المدخلات!$K$41:$L$46,2,0),""))),""))," ")</f>
        <v>368</v>
      </c>
      <c r="M54" s="6" t="str">
        <f>IF(B54&lt;&gt;"",IF(AND(المدخلات!$H$37="سنوي",MOD(B54,12)=0),المدخلات!$J$37,IF(AND(المدخلات!$H$37="القسط (الدفعة) الاول",B54=1),المدخلات!$J$37,IF(المدخلات!$H$37="شهري",المدخلات!$J$37,IF(AND(المدخلات!$H$37="End of the loan",B54=المدخلات!$E$39),المدخلات!$J$37,"")))),"")</f>
        <v/>
      </c>
      <c r="N54" s="6">
        <f t="shared" si="13"/>
        <v>368</v>
      </c>
      <c r="O54" s="4">
        <f t="shared" si="1"/>
        <v>5325.4165516832718</v>
      </c>
      <c r="S54" s="9">
        <f t="shared" si="2"/>
        <v>46417</v>
      </c>
      <c r="T54" s="5">
        <f t="shared" si="6"/>
        <v>5325.42</v>
      </c>
      <c r="U54" s="123"/>
      <c r="V54" s="97"/>
    </row>
    <row r="55" spans="1:22" x14ac:dyDescent="0.2">
      <c r="A55" s="1">
        <f t="shared" ref="A55:A65" si="14">IF(B55&lt;&gt;"",4,"")</f>
        <v>4</v>
      </c>
      <c r="B55" s="16">
        <f t="shared" si="7"/>
        <v>38</v>
      </c>
      <c r="C55" s="9">
        <f t="shared" si="8"/>
        <v>46446</v>
      </c>
      <c r="D55" s="6">
        <f>IFERROR(PPMT(المدخلات!$E$35/12,B55,$C$6,المدخلات!$E$34,-$C$13,0)," ")</f>
        <v>-4291.9620501939562</v>
      </c>
      <c r="E55" s="6">
        <f>IFERROR(IPMT(المدخلات!$E$35/12,B55,$C$6,المدخلات!$E$34,-$C$13,0)," ")</f>
        <v>-665.45450148931582</v>
      </c>
      <c r="F55" s="6">
        <f t="shared" si="9"/>
        <v>-150725.53862958256</v>
      </c>
      <c r="G55" s="6">
        <f t="shared" si="10"/>
        <v>-37656.290334381782</v>
      </c>
      <c r="H55" s="6">
        <f t="shared" si="4"/>
        <v>-4957.4165516832718</v>
      </c>
      <c r="I55" s="6">
        <f t="shared" si="5"/>
        <v>149274.46137041744</v>
      </c>
      <c r="J55" s="6" t="str">
        <f>IF(B55&lt;&gt;"",IF(AND(المدخلات!$H$34="سنوي",MOD(B55,12)=0),المدخلات!$J$34,IF(AND(المدخلات!$H$34="القسط (الدفعة) الاول",B55=1),المدخلات!$J$34,IF(المدخلات!$H$34="شهري",المدخلات!$J$34,""))),"")</f>
        <v/>
      </c>
      <c r="K55" s="6" t="str">
        <f>IF(B55&lt;&gt;"",IF(AND(المدخلات!$H$35="سنوي",MOD(B55,12)=0),المدخلات!$J$35,IF(AND(المدخلات!$H$35="القسط (الدفعة) الاول",B55=1),المدخلات!$J$35,IF(المدخلات!$H$35="شهري",المدخلات!$J$35,""))),"")</f>
        <v/>
      </c>
      <c r="L55" s="6">
        <f>IF(B55&lt;=$C$6,(_xlfn.IFNA(IF(AND(المدخلات!$H$36="القسط (الدفعة) الاول",B55=1),المدخلات!$I$36,IF(المدخلات!$H$36="شهري",VLOOKUP(A55,المدخلات!$G$41:$L$46,6,0),IF(المدخلات!$H$36="سنوي",VLOOKUP('التمويل التأجيري'!B55,المدخلات!$K$41:$L$46,2,0),""))),""))," ")</f>
        <v>368</v>
      </c>
      <c r="M55" s="6" t="str">
        <f>IF(B55&lt;&gt;"",IF(AND(المدخلات!$H$37="سنوي",MOD(B55,12)=0),المدخلات!$J$37,IF(AND(المدخلات!$H$37="القسط (الدفعة) الاول",B55=1),المدخلات!$J$37,IF(المدخلات!$H$37="شهري",المدخلات!$J$37,IF(AND(المدخلات!$H$37="End of the loan",B55=المدخلات!$E$39),المدخلات!$J$37,"")))),"")</f>
        <v/>
      </c>
      <c r="N55" s="6">
        <f t="shared" si="13"/>
        <v>368</v>
      </c>
      <c r="O55" s="4">
        <f t="shared" si="1"/>
        <v>5325.4165516832718</v>
      </c>
      <c r="S55" s="9">
        <f t="shared" si="2"/>
        <v>46446</v>
      </c>
      <c r="T55" s="5">
        <f t="shared" si="6"/>
        <v>5325.42</v>
      </c>
      <c r="U55" s="123"/>
      <c r="V55" s="97"/>
    </row>
    <row r="56" spans="1:22" x14ac:dyDescent="0.2">
      <c r="A56" s="1">
        <f t="shared" si="14"/>
        <v>4</v>
      </c>
      <c r="B56" s="16">
        <f t="shared" si="7"/>
        <v>39</v>
      </c>
      <c r="C56" s="9">
        <f t="shared" si="8"/>
        <v>46476</v>
      </c>
      <c r="D56" s="6">
        <f>IFERROR(PPMT(المدخلات!$E$35/12,B56,$C$6,المدخلات!$E$34,-$C$13,0)," ")</f>
        <v>-4310.5605524114635</v>
      </c>
      <c r="E56" s="6">
        <f>IFERROR(IPMT(المدخلات!$E$35/12,B56,$C$6,المدخلات!$E$34,-$C$13,0)," ")</f>
        <v>-646.85599927180874</v>
      </c>
      <c r="F56" s="6">
        <f t="shared" si="9"/>
        <v>-155036.09918199401</v>
      </c>
      <c r="G56" s="6">
        <f t="shared" si="10"/>
        <v>-38303.146333653589</v>
      </c>
      <c r="H56" s="6">
        <f t="shared" si="4"/>
        <v>-4957.4165516832727</v>
      </c>
      <c r="I56" s="6">
        <f t="shared" si="5"/>
        <v>144963.90081800599</v>
      </c>
      <c r="J56" s="6" t="str">
        <f>IF(B56&lt;&gt;"",IF(AND(المدخلات!$H$34="سنوي",MOD(B56,12)=0),المدخلات!$J$34,IF(AND(المدخلات!$H$34="القسط (الدفعة) الاول",B56=1),المدخلات!$J$34,IF(المدخلات!$H$34="شهري",المدخلات!$J$34,""))),"")</f>
        <v/>
      </c>
      <c r="K56" s="6" t="str">
        <f>IF(B56&lt;&gt;"",IF(AND(المدخلات!$H$35="سنوي",MOD(B56,12)=0),المدخلات!$J$35,IF(AND(المدخلات!$H$35="القسط (الدفعة) الاول",B56=1),المدخلات!$J$35,IF(المدخلات!$H$35="شهري",المدخلات!$J$35,""))),"")</f>
        <v/>
      </c>
      <c r="L56" s="6">
        <f>IF(B56&lt;=$C$6,(_xlfn.IFNA(IF(AND(المدخلات!$H$36="القسط (الدفعة) الاول",B56=1),المدخلات!$I$36,IF(المدخلات!$H$36="شهري",VLOOKUP(A56,المدخلات!$G$41:$L$46,6,0),IF(المدخلات!$H$36="سنوي",VLOOKUP('التمويل التأجيري'!B56,المدخلات!$K$41:$L$46,2,0),""))),""))," ")</f>
        <v>368</v>
      </c>
      <c r="M56" s="6" t="str">
        <f>IF(B56&lt;&gt;"",IF(AND(المدخلات!$H$37="سنوي",MOD(B56,12)=0),المدخلات!$J$37,IF(AND(المدخلات!$H$37="القسط (الدفعة) الاول",B56=1),المدخلات!$J$37,IF(المدخلات!$H$37="شهري",المدخلات!$J$37,IF(AND(المدخلات!$H$37="End of the loan",B56=المدخلات!$E$39),المدخلات!$J$37,"")))),"")</f>
        <v/>
      </c>
      <c r="N56" s="6">
        <f t="shared" si="13"/>
        <v>368</v>
      </c>
      <c r="O56" s="4">
        <f t="shared" si="1"/>
        <v>5325.4165516832727</v>
      </c>
      <c r="S56" s="9">
        <f t="shared" si="2"/>
        <v>46476</v>
      </c>
      <c r="T56" s="5">
        <f t="shared" si="6"/>
        <v>5325.42</v>
      </c>
      <c r="U56" s="123"/>
      <c r="V56" s="97"/>
    </row>
    <row r="57" spans="1:22" x14ac:dyDescent="0.2">
      <c r="A57" s="1">
        <f t="shared" si="14"/>
        <v>4</v>
      </c>
      <c r="B57" s="16">
        <f t="shared" si="7"/>
        <v>40</v>
      </c>
      <c r="C57" s="9">
        <f t="shared" si="8"/>
        <v>46507</v>
      </c>
      <c r="D57" s="6">
        <f>IFERROR(PPMT(المدخلات!$E$35/12,B57,$C$6,المدخلات!$E$34,-$C$13,0)," ")</f>
        <v>-4329.2396481385795</v>
      </c>
      <c r="E57" s="6">
        <f>IFERROR(IPMT(المدخلات!$E$35/12,B57,$C$6,المدخلات!$E$34,-$C$13,0)," ")</f>
        <v>-628.17690354469244</v>
      </c>
      <c r="F57" s="6">
        <f t="shared" si="9"/>
        <v>-159365.33883013259</v>
      </c>
      <c r="G57" s="6">
        <f t="shared" si="10"/>
        <v>-38931.323237198281</v>
      </c>
      <c r="H57" s="6">
        <f t="shared" si="4"/>
        <v>-4957.4165516832718</v>
      </c>
      <c r="I57" s="6">
        <f t="shared" si="5"/>
        <v>140634.66116986741</v>
      </c>
      <c r="J57" s="6" t="str">
        <f>IF(B57&lt;&gt;"",IF(AND(المدخلات!$H$34="سنوي",MOD(B57,12)=0),المدخلات!$J$34,IF(AND(المدخلات!$H$34="القسط (الدفعة) الاول",B57=1),المدخلات!$J$34,IF(المدخلات!$H$34="شهري",المدخلات!$J$34,""))),"")</f>
        <v/>
      </c>
      <c r="K57" s="6" t="str">
        <f>IF(B57&lt;&gt;"",IF(AND(المدخلات!$H$35="سنوي",MOD(B57,12)=0),المدخلات!$J$35,IF(AND(المدخلات!$H$35="القسط (الدفعة) الاول",B57=1),المدخلات!$J$35,IF(المدخلات!$H$35="شهري",المدخلات!$J$35,""))),"")</f>
        <v/>
      </c>
      <c r="L57" s="6">
        <f>IF(B57&lt;=$C$6,(_xlfn.IFNA(IF(AND(المدخلات!$H$36="القسط (الدفعة) الاول",B57=1),المدخلات!$I$36,IF(المدخلات!$H$36="شهري",VLOOKUP(A57,المدخلات!$G$41:$L$46,6,0),IF(المدخلات!$H$36="سنوي",VLOOKUP('التمويل التأجيري'!B57,المدخلات!$K$41:$L$46,2,0),""))),""))," ")</f>
        <v>368</v>
      </c>
      <c r="M57" s="6" t="str">
        <f>IF(B57&lt;&gt;"",IF(AND(المدخلات!$H$37="سنوي",MOD(B57,12)=0),المدخلات!$J$37,IF(AND(المدخلات!$H$37="القسط (الدفعة) الاول",B57=1),المدخلات!$J$37,IF(المدخلات!$H$37="شهري",المدخلات!$J$37,IF(AND(المدخلات!$H$37="End of the loan",B57=المدخلات!$E$39),المدخلات!$J$37,"")))),"")</f>
        <v/>
      </c>
      <c r="N57" s="6">
        <f t="shared" si="13"/>
        <v>368</v>
      </c>
      <c r="O57" s="4">
        <f t="shared" si="1"/>
        <v>5325.4165516832718</v>
      </c>
      <c r="S57" s="9">
        <f t="shared" si="2"/>
        <v>46507</v>
      </c>
      <c r="T57" s="5">
        <f t="shared" si="6"/>
        <v>5325.42</v>
      </c>
      <c r="U57" s="123"/>
      <c r="V57" s="97"/>
    </row>
    <row r="58" spans="1:22" x14ac:dyDescent="0.2">
      <c r="A58" s="1">
        <f t="shared" si="14"/>
        <v>4</v>
      </c>
      <c r="B58" s="16">
        <f t="shared" si="7"/>
        <v>41</v>
      </c>
      <c r="C58" s="9">
        <f t="shared" si="8"/>
        <v>46537</v>
      </c>
      <c r="D58" s="6">
        <f>IFERROR(PPMT(المدخلات!$E$35/12,B58,$C$6,المدخلات!$E$34,-$C$13,0)," ")</f>
        <v>-4347.9996866138463</v>
      </c>
      <c r="E58" s="6">
        <f>IFERROR(IPMT(المدخلات!$E$35/12,B58,$C$6,المدخلات!$E$34,-$C$13,0)," ")</f>
        <v>-609.41686506942528</v>
      </c>
      <c r="F58" s="6">
        <f t="shared" si="9"/>
        <v>-163713.33851674644</v>
      </c>
      <c r="G58" s="6">
        <f t="shared" si="10"/>
        <v>-39540.740102267708</v>
      </c>
      <c r="H58" s="6">
        <f t="shared" si="4"/>
        <v>-4957.4165516832718</v>
      </c>
      <c r="I58" s="6">
        <f t="shared" si="5"/>
        <v>136286.66148325356</v>
      </c>
      <c r="J58" s="6" t="str">
        <f>IF(B58&lt;&gt;"",IF(AND(المدخلات!$H$34="سنوي",MOD(B58,12)=0),المدخلات!$J$34,IF(AND(المدخلات!$H$34="القسط (الدفعة) الاول",B58=1),المدخلات!$J$34,IF(المدخلات!$H$34="شهري",المدخلات!$J$34,""))),"")</f>
        <v/>
      </c>
      <c r="K58" s="6" t="str">
        <f>IF(B58&lt;&gt;"",IF(AND(المدخلات!$H$35="سنوي",MOD(B58,12)=0),المدخلات!$J$35,IF(AND(المدخلات!$H$35="القسط (الدفعة) الاول",B58=1),المدخلات!$J$35,IF(المدخلات!$H$35="شهري",المدخلات!$J$35,""))),"")</f>
        <v/>
      </c>
      <c r="L58" s="6">
        <f>IF(B58&lt;=$C$6,(_xlfn.IFNA(IF(AND(المدخلات!$H$36="القسط (الدفعة) الاول",B58=1),المدخلات!$I$36,IF(المدخلات!$H$36="شهري",VLOOKUP(A58,المدخلات!$G$41:$L$46,6,0),IF(المدخلات!$H$36="سنوي",VLOOKUP('التمويل التأجيري'!B58,المدخلات!$K$41:$L$46,2,0),""))),""))," ")</f>
        <v>368</v>
      </c>
      <c r="M58" s="6" t="str">
        <f>IF(B58&lt;&gt;"",IF(AND(المدخلات!$H$37="سنوي",MOD(B58,12)=0),المدخلات!$J$37,IF(AND(المدخلات!$H$37="القسط (الدفعة) الاول",B58=1),المدخلات!$J$37,IF(المدخلات!$H$37="شهري",المدخلات!$J$37,IF(AND(المدخلات!$H$37="End of the loan",B58=المدخلات!$E$39),المدخلات!$J$37,"")))),"")</f>
        <v/>
      </c>
      <c r="N58" s="6">
        <f t="shared" si="13"/>
        <v>368</v>
      </c>
      <c r="O58" s="4">
        <f t="shared" si="1"/>
        <v>5325.4165516832718</v>
      </c>
      <c r="S58" s="9">
        <f t="shared" si="2"/>
        <v>46537</v>
      </c>
      <c r="T58" s="5">
        <f t="shared" si="6"/>
        <v>5325.42</v>
      </c>
      <c r="U58" s="123"/>
      <c r="V58" s="97"/>
    </row>
    <row r="59" spans="1:22" x14ac:dyDescent="0.2">
      <c r="A59" s="1">
        <f t="shared" si="14"/>
        <v>4</v>
      </c>
      <c r="B59" s="16">
        <f t="shared" si="7"/>
        <v>42</v>
      </c>
      <c r="C59" s="9">
        <f t="shared" si="8"/>
        <v>46568</v>
      </c>
      <c r="D59" s="6">
        <f>IFERROR(PPMT(المدخلات!$E$35/12,B59,$C$6,المدخلات!$E$34,-$C$13,0)," ")</f>
        <v>-4366.8410185891726</v>
      </c>
      <c r="E59" s="6">
        <f>IFERROR(IPMT(المدخلات!$E$35/12,B59,$C$6,المدخلات!$E$34,-$C$13,0)," ")</f>
        <v>-590.57553309409855</v>
      </c>
      <c r="F59" s="6">
        <f t="shared" si="9"/>
        <v>-168080.17953533563</v>
      </c>
      <c r="G59" s="6">
        <f t="shared" si="10"/>
        <v>-40131.315635361803</v>
      </c>
      <c r="H59" s="6">
        <f t="shared" si="4"/>
        <v>-4957.4165516832709</v>
      </c>
      <c r="I59" s="6">
        <f t="shared" si="5"/>
        <v>131919.82046466437</v>
      </c>
      <c r="J59" s="6" t="str">
        <f>IF(B59&lt;&gt;"",IF(AND(المدخلات!$H$34="سنوي",MOD(B59,12)=0),المدخلات!$J$34,IF(AND(المدخلات!$H$34="القسط (الدفعة) الاول",B59=1),المدخلات!$J$34,IF(المدخلات!$H$34="شهري",المدخلات!$J$34,""))),"")</f>
        <v/>
      </c>
      <c r="K59" s="6" t="str">
        <f>IF(B59&lt;&gt;"",IF(AND(المدخلات!$H$35="سنوي",MOD(B59,12)=0),المدخلات!$J$35,IF(AND(المدخلات!$H$35="القسط (الدفعة) الاول",B59=1),المدخلات!$J$35,IF(المدخلات!$H$35="شهري",المدخلات!$J$35,""))),"")</f>
        <v/>
      </c>
      <c r="L59" s="6">
        <f>IF(B59&lt;=$C$6,(_xlfn.IFNA(IF(AND(المدخلات!$H$36="القسط (الدفعة) الاول",B59=1),المدخلات!$I$36,IF(المدخلات!$H$36="شهري",VLOOKUP(A59,المدخلات!$G$41:$L$46,6,0),IF(المدخلات!$H$36="سنوي",VLOOKUP('التمويل التأجيري'!B59,المدخلات!$K$41:$L$46,2,0),""))),""))," ")</f>
        <v>368</v>
      </c>
      <c r="M59" s="6" t="str">
        <f>IF(B59&lt;&gt;"",IF(AND(المدخلات!$H$37="سنوي",MOD(B59,12)=0),المدخلات!$J$37,IF(AND(المدخلات!$H$37="القسط (الدفعة) الاول",B59=1),المدخلات!$J$37,IF(المدخلات!$H$37="شهري",المدخلات!$J$37,IF(AND(المدخلات!$H$37="End of the loan",B59=المدخلات!$E$39),المدخلات!$J$37,"")))),"")</f>
        <v/>
      </c>
      <c r="N59" s="6">
        <f t="shared" si="13"/>
        <v>368</v>
      </c>
      <c r="O59" s="4">
        <f t="shared" si="1"/>
        <v>5325.4165516832709</v>
      </c>
      <c r="S59" s="9">
        <f t="shared" si="2"/>
        <v>46568</v>
      </c>
      <c r="T59" s="5">
        <f t="shared" si="6"/>
        <v>5325.42</v>
      </c>
      <c r="U59" s="123"/>
      <c r="V59" s="97"/>
    </row>
    <row r="60" spans="1:22" x14ac:dyDescent="0.2">
      <c r="A60" s="1">
        <f t="shared" si="14"/>
        <v>4</v>
      </c>
      <c r="B60" s="16">
        <f t="shared" si="7"/>
        <v>43</v>
      </c>
      <c r="C60" s="9">
        <f t="shared" si="8"/>
        <v>46598</v>
      </c>
      <c r="D60" s="6">
        <f>IFERROR(PPMT(المدخلات!$E$35/12,B60,$C$6,المدخلات!$E$34,-$C$13,0)," ")</f>
        <v>-4385.7639963363927</v>
      </c>
      <c r="E60" s="6">
        <f>IFERROR(IPMT(المدخلات!$E$35/12,B60,$C$6,المدخلات!$E$34,-$C$13,0)," ")</f>
        <v>-571.6525553468789</v>
      </c>
      <c r="F60" s="6">
        <f t="shared" si="9"/>
        <v>-172465.94353167203</v>
      </c>
      <c r="G60" s="6">
        <f t="shared" si="10"/>
        <v>-40702.968190708685</v>
      </c>
      <c r="H60" s="6">
        <f t="shared" si="4"/>
        <v>-4957.4165516832718</v>
      </c>
      <c r="I60" s="6">
        <f t="shared" si="5"/>
        <v>127534.05646832797</v>
      </c>
      <c r="J60" s="6" t="str">
        <f>IF(B60&lt;&gt;"",IF(AND(المدخلات!$H$34="سنوي",MOD(B60,12)=0),المدخلات!$J$34,IF(AND(المدخلات!$H$34="القسط (الدفعة) الاول",B60=1),المدخلات!$J$34,IF(المدخلات!$H$34="شهري",المدخلات!$J$34,""))),"")</f>
        <v/>
      </c>
      <c r="K60" s="6" t="str">
        <f>IF(B60&lt;&gt;"",IF(AND(المدخلات!$H$35="سنوي",MOD(B60,12)=0),المدخلات!$J$35,IF(AND(المدخلات!$H$35="القسط (الدفعة) الاول",B60=1),المدخلات!$J$35,IF(المدخلات!$H$35="شهري",المدخلات!$J$35,""))),"")</f>
        <v/>
      </c>
      <c r="L60" s="6">
        <f>IF(B60&lt;=$C$6,(_xlfn.IFNA(IF(AND(المدخلات!$H$36="القسط (الدفعة) الاول",B60=1),المدخلات!$I$36,IF(المدخلات!$H$36="شهري",VLOOKUP(A60,المدخلات!$G$41:$L$46,6,0),IF(المدخلات!$H$36="سنوي",VLOOKUP('التمويل التأجيري'!B60,المدخلات!$K$41:$L$46,2,0),""))),""))," ")</f>
        <v>368</v>
      </c>
      <c r="M60" s="6" t="str">
        <f>IF(B60&lt;&gt;"",IF(AND(المدخلات!$H$37="سنوي",MOD(B60,12)=0),المدخلات!$J$37,IF(AND(المدخلات!$H$37="القسط (الدفعة) الاول",B60=1),المدخلات!$J$37,IF(المدخلات!$H$37="شهري",المدخلات!$J$37,IF(AND(المدخلات!$H$37="End of the loan",B60=المدخلات!$E$39),المدخلات!$J$37,"")))),"")</f>
        <v/>
      </c>
      <c r="N60" s="6">
        <f t="shared" si="13"/>
        <v>368</v>
      </c>
      <c r="O60" s="4">
        <f t="shared" si="1"/>
        <v>5325.4165516832718</v>
      </c>
      <c r="S60" s="9">
        <f t="shared" si="2"/>
        <v>46598</v>
      </c>
      <c r="T60" s="5">
        <f t="shared" si="6"/>
        <v>5325.42</v>
      </c>
      <c r="U60" s="123"/>
      <c r="V60" s="97"/>
    </row>
    <row r="61" spans="1:22" x14ac:dyDescent="0.2">
      <c r="A61" s="1">
        <f t="shared" si="14"/>
        <v>4</v>
      </c>
      <c r="B61" s="16">
        <f t="shared" si="7"/>
        <v>44</v>
      </c>
      <c r="C61" s="9">
        <f t="shared" si="8"/>
        <v>46629</v>
      </c>
      <c r="D61" s="6">
        <f>IFERROR(PPMT(المدخلات!$E$35/12,B61,$C$6,المدخلات!$E$34,-$C$13,0)," ")</f>
        <v>-4404.7689736538505</v>
      </c>
      <c r="E61" s="6">
        <f>IFERROR(IPMT(المدخلات!$E$35/12,B61,$C$6,المدخلات!$E$34,-$C$13,0)," ")</f>
        <v>-552.6475780294212</v>
      </c>
      <c r="F61" s="6">
        <f t="shared" si="9"/>
        <v>-176870.71250532588</v>
      </c>
      <c r="G61" s="6">
        <f t="shared" si="10"/>
        <v>-41255.615768738106</v>
      </c>
      <c r="H61" s="6">
        <f t="shared" si="4"/>
        <v>-4957.4165516832718</v>
      </c>
      <c r="I61" s="6">
        <f t="shared" si="5"/>
        <v>123129.28749467412</v>
      </c>
      <c r="J61" s="6" t="str">
        <f>IF(B61&lt;&gt;"",IF(AND(المدخلات!$H$34="سنوي",MOD(B61,12)=0),المدخلات!$J$34,IF(AND(المدخلات!$H$34="القسط (الدفعة) الاول",B61=1),المدخلات!$J$34,IF(المدخلات!$H$34="شهري",المدخلات!$J$34,""))),"")</f>
        <v/>
      </c>
      <c r="K61" s="6" t="str">
        <f>IF(B61&lt;&gt;"",IF(AND(المدخلات!$H$35="سنوي",MOD(B61,12)=0),المدخلات!$J$35,IF(AND(المدخلات!$H$35="القسط (الدفعة) الاول",B61=1),المدخلات!$J$35,IF(المدخلات!$H$35="شهري",المدخلات!$J$35,""))),"")</f>
        <v/>
      </c>
      <c r="L61" s="6">
        <f>IF(B61&lt;=$C$6,(_xlfn.IFNA(IF(AND(المدخلات!$H$36="القسط (الدفعة) الاول",B61=1),المدخلات!$I$36,IF(المدخلات!$H$36="شهري",VLOOKUP(A61,المدخلات!$G$41:$L$46,6,0),IF(المدخلات!$H$36="سنوي",VLOOKUP('التمويل التأجيري'!B61,المدخلات!$K$41:$L$46,2,0),""))),""))," ")</f>
        <v>368</v>
      </c>
      <c r="M61" s="6" t="str">
        <f>IF(B61&lt;&gt;"",IF(AND(المدخلات!$H$37="سنوي",MOD(B61,12)=0),المدخلات!$J$37,IF(AND(المدخلات!$H$37="القسط (الدفعة) الاول",B61=1),المدخلات!$J$37,IF(المدخلات!$H$37="شهري",المدخلات!$J$37,IF(AND(المدخلات!$H$37="End of the loan",B61=المدخلات!$E$39),المدخلات!$J$37,"")))),"")</f>
        <v/>
      </c>
      <c r="N61" s="6">
        <f t="shared" si="13"/>
        <v>368</v>
      </c>
      <c r="O61" s="4">
        <f t="shared" si="1"/>
        <v>5325.4165516832718</v>
      </c>
      <c r="S61" s="9">
        <f t="shared" si="2"/>
        <v>46629</v>
      </c>
      <c r="T61" s="5">
        <f t="shared" si="6"/>
        <v>5325.42</v>
      </c>
      <c r="U61" s="123"/>
      <c r="V61" s="97"/>
    </row>
    <row r="62" spans="1:22" x14ac:dyDescent="0.2">
      <c r="A62" s="1">
        <f t="shared" si="14"/>
        <v>4</v>
      </c>
      <c r="B62" s="16">
        <f t="shared" si="7"/>
        <v>45</v>
      </c>
      <c r="C62" s="9">
        <f t="shared" si="8"/>
        <v>46660</v>
      </c>
      <c r="D62" s="6">
        <f>IFERROR(PPMT(المدخلات!$E$35/12,B62,$C$6,المدخلات!$E$34,-$C$13,0)," ")</f>
        <v>-4423.8563058730169</v>
      </c>
      <c r="E62" s="6">
        <f>IFERROR(IPMT(المدخلات!$E$35/12,B62,$C$6,المدخلات!$E$34,-$C$13,0)," ")</f>
        <v>-533.5602458102544</v>
      </c>
      <c r="F62" s="6">
        <f t="shared" si="9"/>
        <v>-181294.5688111989</v>
      </c>
      <c r="G62" s="6">
        <f t="shared" si="10"/>
        <v>-41789.176014548357</v>
      </c>
      <c r="H62" s="6">
        <f t="shared" si="4"/>
        <v>-4957.4165516832709</v>
      </c>
      <c r="I62" s="6">
        <f t="shared" si="5"/>
        <v>118705.4311888011</v>
      </c>
      <c r="J62" s="6" t="str">
        <f>IF(B62&lt;&gt;"",IF(AND(المدخلات!$H$34="سنوي",MOD(B62,12)=0),المدخلات!$J$34,IF(AND(المدخلات!$H$34="القسط (الدفعة) الاول",B62=1),المدخلات!$J$34,IF(المدخلات!$H$34="شهري",المدخلات!$J$34,""))),"")</f>
        <v/>
      </c>
      <c r="K62" s="6" t="str">
        <f>IF(B62&lt;&gt;"",IF(AND(المدخلات!$H$35="سنوي",MOD(B62,12)=0),المدخلات!$J$35,IF(AND(المدخلات!$H$35="القسط (الدفعة) الاول",B62=1),المدخلات!$J$35,IF(المدخلات!$H$35="شهري",المدخلات!$J$35,""))),"")</f>
        <v/>
      </c>
      <c r="L62" s="6">
        <f>IF(B62&lt;=$C$6,(_xlfn.IFNA(IF(AND(المدخلات!$H$36="القسط (الدفعة) الاول",B62=1),المدخلات!$I$36,IF(المدخلات!$H$36="شهري",VLOOKUP(A62,المدخلات!$G$41:$L$46,6,0),IF(المدخلات!$H$36="سنوي",VLOOKUP('التمويل التأجيري'!B62,المدخلات!$K$41:$L$46,2,0),""))),""))," ")</f>
        <v>368</v>
      </c>
      <c r="M62" s="6" t="str">
        <f>IF(B62&lt;&gt;"",IF(AND(المدخلات!$H$37="سنوي",MOD(B62,12)=0),المدخلات!$J$37,IF(AND(المدخلات!$H$37="القسط (الدفعة) الاول",B62=1),المدخلات!$J$37,IF(المدخلات!$H$37="شهري",المدخلات!$J$37,IF(AND(المدخلات!$H$37="End of the loan",B62=المدخلات!$E$39),المدخلات!$J$37,"")))),"")</f>
        <v/>
      </c>
      <c r="N62" s="6">
        <f t="shared" si="13"/>
        <v>368</v>
      </c>
      <c r="O62" s="4">
        <f t="shared" si="1"/>
        <v>5325.4165516832709</v>
      </c>
      <c r="S62" s="9">
        <f t="shared" si="2"/>
        <v>46660</v>
      </c>
      <c r="T62" s="5">
        <f t="shared" si="6"/>
        <v>5325.42</v>
      </c>
      <c r="U62" s="123"/>
      <c r="V62" s="97"/>
    </row>
    <row r="63" spans="1:22" x14ac:dyDescent="0.2">
      <c r="A63" s="1">
        <f t="shared" si="14"/>
        <v>4</v>
      </c>
      <c r="B63" s="16">
        <f t="shared" si="7"/>
        <v>46</v>
      </c>
      <c r="C63" s="9">
        <f t="shared" si="8"/>
        <v>46690</v>
      </c>
      <c r="D63" s="6">
        <f>IFERROR(PPMT(المدخلات!$E$35/12,B63,$C$6,المدخلات!$E$34,-$C$13,0)," ")</f>
        <v>-4443.0263498651339</v>
      </c>
      <c r="E63" s="6">
        <f>IFERROR(IPMT(المدخلات!$E$35/12,B63,$C$6,المدخلات!$E$34,-$C$13,0)," ")</f>
        <v>-514.39020181813805</v>
      </c>
      <c r="F63" s="6">
        <f t="shared" si="9"/>
        <v>-185737.59516106403</v>
      </c>
      <c r="G63" s="6">
        <f t="shared" si="10"/>
        <v>-42303.566216366497</v>
      </c>
      <c r="H63" s="6">
        <f t="shared" si="4"/>
        <v>-4957.4165516832718</v>
      </c>
      <c r="I63" s="6">
        <f t="shared" si="5"/>
        <v>114262.40483893597</v>
      </c>
      <c r="J63" s="6" t="str">
        <f>IF(B63&lt;&gt;"",IF(AND(المدخلات!$H$34="سنوي",MOD(B63,12)=0),المدخلات!$J$34,IF(AND(المدخلات!$H$34="القسط (الدفعة) الاول",B63=1),المدخلات!$J$34,IF(المدخلات!$H$34="شهري",المدخلات!$J$34,""))),"")</f>
        <v/>
      </c>
      <c r="K63" s="6" t="str">
        <f>IF(B63&lt;&gt;"",IF(AND(المدخلات!$H$35="سنوي",MOD(B63,12)=0),المدخلات!$J$35,IF(AND(المدخلات!$H$35="القسط (الدفعة) الاول",B63=1),المدخلات!$J$35,IF(المدخلات!$H$35="شهري",المدخلات!$J$35,""))),"")</f>
        <v/>
      </c>
      <c r="L63" s="6">
        <f>IF(B63&lt;=$C$6,(_xlfn.IFNA(IF(AND(المدخلات!$H$36="القسط (الدفعة) الاول",B63=1),المدخلات!$I$36,IF(المدخلات!$H$36="شهري",VLOOKUP(A63,المدخلات!$G$41:$L$46,6,0),IF(المدخلات!$H$36="سنوي",VLOOKUP('التمويل التأجيري'!B63,المدخلات!$K$41:$L$46,2,0),""))),""))," ")</f>
        <v>368</v>
      </c>
      <c r="M63" s="6" t="str">
        <f>IF(B63&lt;&gt;"",IF(AND(المدخلات!$H$37="سنوي",MOD(B63,12)=0),المدخلات!$J$37,IF(AND(المدخلات!$H$37="القسط (الدفعة) الاول",B63=1),المدخلات!$J$37,IF(المدخلات!$H$37="شهري",المدخلات!$J$37,IF(AND(المدخلات!$H$37="End of the loan",B63=المدخلات!$E$39),المدخلات!$J$37,"")))),"")</f>
        <v/>
      </c>
      <c r="N63" s="6">
        <f t="shared" si="13"/>
        <v>368</v>
      </c>
      <c r="O63" s="4">
        <f t="shared" si="1"/>
        <v>5325.4165516832718</v>
      </c>
      <c r="S63" s="9">
        <f t="shared" si="2"/>
        <v>46690</v>
      </c>
      <c r="T63" s="5">
        <f t="shared" si="6"/>
        <v>5325.42</v>
      </c>
      <c r="U63" s="123"/>
      <c r="V63" s="97"/>
    </row>
    <row r="64" spans="1:22" x14ac:dyDescent="0.2">
      <c r="A64" s="1">
        <f t="shared" si="14"/>
        <v>4</v>
      </c>
      <c r="B64" s="16">
        <f t="shared" si="7"/>
        <v>47</v>
      </c>
      <c r="C64" s="9">
        <f t="shared" si="8"/>
        <v>46721</v>
      </c>
      <c r="D64" s="6">
        <f>IFERROR(PPMT(المدخلات!$E$35/12,B64,$C$6,المدخلات!$E$34,-$C$13,0)," ")</f>
        <v>-4462.2794640478824</v>
      </c>
      <c r="E64" s="6">
        <f>IFERROR(IPMT(المدخلات!$E$35/12,B64,$C$6,المدخلات!$E$34,-$C$13,0)," ")</f>
        <v>-495.13708763538915</v>
      </c>
      <c r="F64" s="6">
        <f t="shared" si="9"/>
        <v>-190199.87462511193</v>
      </c>
      <c r="G64" s="6">
        <f t="shared" si="10"/>
        <v>-42798.703304001887</v>
      </c>
      <c r="H64" s="6">
        <f t="shared" si="4"/>
        <v>-4957.4165516832718</v>
      </c>
      <c r="I64" s="6">
        <f t="shared" si="5"/>
        <v>109800.12537488807</v>
      </c>
      <c r="J64" s="6" t="str">
        <f>IF(B64&lt;&gt;"",IF(AND(المدخلات!$H$34="سنوي",MOD(B64,12)=0),المدخلات!$J$34,IF(AND(المدخلات!$H$34="القسط (الدفعة) الاول",B64=1),المدخلات!$J$34,IF(المدخلات!$H$34="شهري",المدخلات!$J$34,""))),"")</f>
        <v/>
      </c>
      <c r="K64" s="6" t="str">
        <f>IF(B64&lt;&gt;"",IF(AND(المدخلات!$H$35="سنوي",MOD(B64,12)=0),المدخلات!$J$35,IF(AND(المدخلات!$H$35="القسط (الدفعة) الاول",B64=1),المدخلات!$J$35,IF(المدخلات!$H$35="شهري",المدخلات!$J$35,""))),"")</f>
        <v/>
      </c>
      <c r="L64" s="6">
        <f>IF(B64&lt;=$C$6,(_xlfn.IFNA(IF(AND(المدخلات!$H$36="القسط (الدفعة) الاول",B64=1),المدخلات!$I$36,IF(المدخلات!$H$36="شهري",VLOOKUP(A64,المدخلات!$G$41:$L$46,6,0),IF(المدخلات!$H$36="سنوي",VLOOKUP('التمويل التأجيري'!B64,المدخلات!$K$41:$L$46,2,0),""))),""))," ")</f>
        <v>368</v>
      </c>
      <c r="M64" s="6" t="str">
        <f>IF(B64&lt;&gt;"",IF(AND(المدخلات!$H$37="سنوي",MOD(B64,12)=0),المدخلات!$J$37,IF(AND(المدخلات!$H$37="القسط (الدفعة) الاول",B64=1),المدخلات!$J$37,IF(المدخلات!$H$37="شهري",المدخلات!$J$37,IF(AND(المدخلات!$H$37="End of the loan",B64=المدخلات!$E$39),المدخلات!$J$37,"")))),"")</f>
        <v/>
      </c>
      <c r="N64" s="6">
        <f t="shared" si="13"/>
        <v>368</v>
      </c>
      <c r="O64" s="4">
        <f t="shared" si="1"/>
        <v>5325.4165516832718</v>
      </c>
      <c r="S64" s="9">
        <f t="shared" si="2"/>
        <v>46721</v>
      </c>
      <c r="T64" s="5">
        <f t="shared" si="6"/>
        <v>5325.42</v>
      </c>
      <c r="U64" s="123"/>
      <c r="V64" s="97"/>
    </row>
    <row r="65" spans="1:24" x14ac:dyDescent="0.2">
      <c r="A65" s="1">
        <f t="shared" si="14"/>
        <v>4</v>
      </c>
      <c r="B65" s="16">
        <f t="shared" si="7"/>
        <v>48</v>
      </c>
      <c r="C65" s="9">
        <f t="shared" si="8"/>
        <v>46751</v>
      </c>
      <c r="D65" s="6">
        <f>IFERROR(PPMT(المدخلات!$E$35/12,B65,$C$6,المدخلات!$E$34,-$C$13,0)," ")</f>
        <v>-4481.6160083920904</v>
      </c>
      <c r="E65" s="6">
        <f>IFERROR(IPMT(المدخلات!$E$35/12,B65,$C$6,المدخلات!$E$34,-$C$13,0)," ")</f>
        <v>-475.80054329118161</v>
      </c>
      <c r="F65" s="6">
        <f t="shared" si="9"/>
        <v>-194681.49063350403</v>
      </c>
      <c r="G65" s="6">
        <f t="shared" si="10"/>
        <v>-43274.503847293068</v>
      </c>
      <c r="H65" s="6">
        <f t="shared" si="4"/>
        <v>-4957.4165516832718</v>
      </c>
      <c r="I65" s="6">
        <f t="shared" si="5"/>
        <v>105318.50936649597</v>
      </c>
      <c r="J65" s="6" t="str">
        <f>IF(B65&lt;&gt;"",IF(AND(المدخلات!$H$34="سنوي",MOD(B65,12)=0),المدخلات!$J$34,IF(AND(المدخلات!$H$34="القسط (الدفعة) الاول",B65=1),المدخلات!$J$34,IF(المدخلات!$H$34="شهري",المدخلات!$J$34,""))),"")</f>
        <v/>
      </c>
      <c r="K65" s="6">
        <f>IF(B65&lt;&gt;"",IF(AND(المدخلات!$H$35="سنوي",MOD(B65,12)=0),المدخلات!$J$35,IF(AND(المدخلات!$H$35="القسط (الدفعة) الاول",B65=1),المدخلات!$J$35,IF(المدخلات!$H$35="شهري",المدخلات!$J$35,""))),"")</f>
        <v>0</v>
      </c>
      <c r="L65" s="6">
        <f>IF(B65&lt;=$C$6,(_xlfn.IFNA(IF(AND(المدخلات!$H$36="القسط (الدفعة) الاول",B65=1),المدخلات!$I$36,IF(المدخلات!$H$36="شهري",VLOOKUP(A65,المدخلات!$G$41:$L$46,6,0),IF(المدخلات!$H$36="سنوي",VLOOKUP('التمويل التأجيري'!B65,المدخلات!$K$41:$L$46,2,0),""))),""))," ")</f>
        <v>368</v>
      </c>
      <c r="M65" s="6" t="str">
        <f>IF(B65&lt;&gt;"",IF(AND(المدخلات!$H$37="سنوي",MOD(B65,12)=0),المدخلات!$J$37,IF(AND(المدخلات!$H$37="القسط (الدفعة) الاول",B65=1),المدخلات!$J$37,IF(المدخلات!$H$37="شهري",المدخلات!$J$37,IF(AND(المدخلات!$H$37="End of the loan",B65=المدخلات!$E$39),المدخلات!$J$37,"")))),"")</f>
        <v/>
      </c>
      <c r="N65" s="6">
        <f t="shared" si="13"/>
        <v>368</v>
      </c>
      <c r="O65" s="4">
        <f t="shared" si="1"/>
        <v>5325.4165516832718</v>
      </c>
      <c r="S65" s="9">
        <f t="shared" si="2"/>
        <v>46751</v>
      </c>
      <c r="T65" s="5">
        <f t="shared" si="6"/>
        <v>5325.42</v>
      </c>
      <c r="U65" s="123"/>
      <c r="V65" s="97"/>
    </row>
    <row r="66" spans="1:24" x14ac:dyDescent="0.2">
      <c r="A66" s="1">
        <f>IF(B66&lt;&gt;"",5,"")</f>
        <v>5</v>
      </c>
      <c r="B66" s="16">
        <f t="shared" si="7"/>
        <v>49</v>
      </c>
      <c r="C66" s="9">
        <f t="shared" si="8"/>
        <v>46782</v>
      </c>
      <c r="D66" s="6">
        <f>IFERROR(PPMT(المدخلات!$E$35/12,B66,$C$6,المدخلات!$E$34,-$C$13,0)," ")</f>
        <v>-4501.0363444284558</v>
      </c>
      <c r="E66" s="6">
        <f>IFERROR(IPMT(المدخلات!$E$35/12,B66,$C$6,المدخلات!$E$34,-$C$13,0)," ")</f>
        <v>-456.38020725481596</v>
      </c>
      <c r="F66" s="6">
        <f t="shared" si="9"/>
        <v>-199182.52697793249</v>
      </c>
      <c r="G66" s="6">
        <f t="shared" si="10"/>
        <v>-43730.884054547882</v>
      </c>
      <c r="H66" s="6">
        <f t="shared" si="4"/>
        <v>-4957.4165516832718</v>
      </c>
      <c r="I66" s="6">
        <f t="shared" si="5"/>
        <v>100817.47302206751</v>
      </c>
      <c r="J66" s="6" t="str">
        <f>IF(B66&lt;&gt;"",IF(AND(المدخلات!$H$34="سنوي",MOD(B66,12)=0),المدخلات!$J$34,IF(AND(المدخلات!$H$34="القسط (الدفعة) الاول",B66=1),المدخلات!$J$34,IF(المدخلات!$H$34="شهري",المدخلات!$J$34,""))),"")</f>
        <v/>
      </c>
      <c r="K66" s="6" t="str">
        <f>IF(B66&lt;&gt;"",IF(AND(المدخلات!$H$35="سنوي",MOD(B66,12)=0),المدخلات!$J$35,IF(AND(المدخلات!$H$35="القسط (الدفعة) الاول",B66=1),المدخلات!$J$35,IF(المدخلات!$H$35="شهري",المدخلات!$J$35,""))),"")</f>
        <v/>
      </c>
      <c r="L66" s="6">
        <f>IF(B66&lt;=$C$6,(_xlfn.IFNA(IF(AND(المدخلات!$H$36="القسط (الدفعة) الاول",B66=1),المدخلات!$I$36,IF(المدخلات!$H$36="شهري",VLOOKUP(A66,المدخلات!$G$41:$L$46,6,0),IF(المدخلات!$H$36="سنوي",VLOOKUP('التمويل التأجيري'!B66,المدخلات!$K$41:$L$46,2,0),""))),""))," ")</f>
        <v>184</v>
      </c>
      <c r="M66" s="6" t="str">
        <f>IF(B66&lt;&gt;"",IF(AND(المدخلات!$H$37="سنوي",MOD(B66,12)=0),المدخلات!$J$37,IF(AND(المدخلات!$H$37="القسط (الدفعة) الاول",B66=1),المدخلات!$J$37,IF(المدخلات!$H$37="شهري",المدخلات!$J$37,IF(AND(المدخلات!$H$37="End of the loan",B66=المدخلات!$E$39),المدخلات!$J$37,"")))),"")</f>
        <v/>
      </c>
      <c r="N66" s="6">
        <f t="shared" si="13"/>
        <v>184</v>
      </c>
      <c r="O66" s="4">
        <f t="shared" si="1"/>
        <v>5141.4165516832718</v>
      </c>
      <c r="S66" s="9">
        <f t="shared" si="2"/>
        <v>46782</v>
      </c>
      <c r="T66" s="5">
        <f t="shared" si="6"/>
        <v>5141.42</v>
      </c>
      <c r="U66" s="123"/>
      <c r="V66" s="97"/>
    </row>
    <row r="67" spans="1:24" x14ac:dyDescent="0.2">
      <c r="A67" s="1">
        <f t="shared" ref="A67:A73" si="15">IF(B67&lt;&gt;"",5,"")</f>
        <v>5</v>
      </c>
      <c r="B67" s="16">
        <f t="shared" si="7"/>
        <v>50</v>
      </c>
      <c r="C67" s="9">
        <f t="shared" si="8"/>
        <v>46812</v>
      </c>
      <c r="D67" s="6">
        <f>IFERROR(PPMT(المدخلات!$E$35/12,B67,$C$6,المدخلات!$E$34,-$C$13,0)," ")</f>
        <v>-4520.5408352543127</v>
      </c>
      <c r="E67" s="6">
        <f>IFERROR(IPMT(المدخلات!$E$35/12,B67,$C$6,المدخلات!$E$34,-$C$13,0)," ")</f>
        <v>-436.87571642895932</v>
      </c>
      <c r="F67" s="6">
        <f t="shared" si="9"/>
        <v>-203703.06781318679</v>
      </c>
      <c r="G67" s="6">
        <f t="shared" si="10"/>
        <v>-44167.759770976838</v>
      </c>
      <c r="H67" s="6">
        <f t="shared" si="4"/>
        <v>-4957.4165516832718</v>
      </c>
      <c r="I67" s="6">
        <f t="shared" si="5"/>
        <v>96296.93218681321</v>
      </c>
      <c r="J67" s="6" t="str">
        <f>IF(B67&lt;&gt;"",IF(AND(المدخلات!$H$34="سنوي",MOD(B67,12)=0),المدخلات!$J$34,IF(AND(المدخلات!$H$34="القسط (الدفعة) الاول",B67=1),المدخلات!$J$34,IF(المدخلات!$H$34="شهري",المدخلات!$J$34,""))),"")</f>
        <v/>
      </c>
      <c r="K67" s="6" t="str">
        <f>IF(B67&lt;&gt;"",IF(AND(المدخلات!$H$35="سنوي",MOD(B67,12)=0),المدخلات!$J$35,IF(AND(المدخلات!$H$35="القسط (الدفعة) الاول",B67=1),المدخلات!$J$35,IF(المدخلات!$H$35="شهري",المدخلات!$J$35,""))),"")</f>
        <v/>
      </c>
      <c r="L67" s="6">
        <f>IF(B67&lt;=$C$6,(_xlfn.IFNA(IF(AND(المدخلات!$H$36="القسط (الدفعة) الاول",B67=1),المدخلات!$I$36,IF(المدخلات!$H$36="شهري",VLOOKUP(A67,المدخلات!$G$41:$L$46,6,0),IF(المدخلات!$H$36="سنوي",VLOOKUP('التمويل التأجيري'!B67,المدخلات!$K$41:$L$46,2,0),""))),""))," ")</f>
        <v>184</v>
      </c>
      <c r="M67" s="6" t="str">
        <f>IF(B67&lt;&gt;"",IF(AND(المدخلات!$H$37="سنوي",MOD(B67,12)=0),المدخلات!$J$37,IF(AND(المدخلات!$H$37="القسط (الدفعة) الاول",B67=1),المدخلات!$J$37,IF(المدخلات!$H$37="شهري",المدخلات!$J$37,IF(AND(المدخلات!$H$37="End of the loan",B67=المدخلات!$E$39),المدخلات!$J$37,"")))),"")</f>
        <v/>
      </c>
      <c r="N67" s="6">
        <f t="shared" si="13"/>
        <v>184</v>
      </c>
      <c r="O67" s="4">
        <f t="shared" si="1"/>
        <v>5141.4165516832718</v>
      </c>
      <c r="S67" s="9">
        <f t="shared" si="2"/>
        <v>46812</v>
      </c>
      <c r="T67" s="5">
        <f t="shared" si="6"/>
        <v>5141.42</v>
      </c>
      <c r="U67" s="123"/>
      <c r="V67" s="97"/>
    </row>
    <row r="68" spans="1:24" x14ac:dyDescent="0.2">
      <c r="A68" s="1">
        <f t="shared" si="15"/>
        <v>5</v>
      </c>
      <c r="B68" s="16">
        <f t="shared" si="7"/>
        <v>51</v>
      </c>
      <c r="C68" s="9">
        <f t="shared" si="8"/>
        <v>46842</v>
      </c>
      <c r="D68" s="6">
        <f>IFERROR(PPMT(المدخلات!$E$35/12,B68,$C$6,المدخلات!$E$34,-$C$13,0)," ")</f>
        <v>-4540.1298455404149</v>
      </c>
      <c r="E68" s="6">
        <f>IFERROR(IPMT(المدخلات!$E$35/12,B68,$C$6,المدخلات!$E$34,-$C$13,0)," ")</f>
        <v>-417.28670614285727</v>
      </c>
      <c r="F68" s="6">
        <f t="shared" si="9"/>
        <v>-208243.19765872721</v>
      </c>
      <c r="G68" s="6">
        <f t="shared" si="10"/>
        <v>-44585.046477119693</v>
      </c>
      <c r="H68" s="6">
        <f t="shared" si="4"/>
        <v>-4957.4165516832718</v>
      </c>
      <c r="I68" s="6">
        <f t="shared" si="5"/>
        <v>91756.802341272793</v>
      </c>
      <c r="J68" s="6" t="str">
        <f>IF(B68&lt;&gt;"",IF(AND(المدخلات!$H$34="سنوي",MOD(B68,12)=0),المدخلات!$J$34,IF(AND(المدخلات!$H$34="القسط (الدفعة) الاول",B68=1),المدخلات!$J$34,IF(المدخلات!$H$34="شهري",المدخلات!$J$34,""))),"")</f>
        <v/>
      </c>
      <c r="K68" s="6" t="str">
        <f>IF(B68&lt;&gt;"",IF(AND(المدخلات!$H$35="سنوي",MOD(B68,12)=0),المدخلات!$J$35,IF(AND(المدخلات!$H$35="القسط (الدفعة) الاول",B68=1),المدخلات!$J$35,IF(المدخلات!$H$35="شهري",المدخلات!$J$35,""))),"")</f>
        <v/>
      </c>
      <c r="L68" s="6">
        <f>IF(B68&lt;=$C$6,(_xlfn.IFNA(IF(AND(المدخلات!$H$36="القسط (الدفعة) الاول",B68=1),المدخلات!$I$36,IF(المدخلات!$H$36="شهري",VLOOKUP(A68,المدخلات!$G$41:$L$46,6,0),IF(المدخلات!$H$36="سنوي",VLOOKUP('التمويل التأجيري'!B68,المدخلات!$K$41:$L$46,2,0),""))),""))," ")</f>
        <v>184</v>
      </c>
      <c r="M68" s="6" t="str">
        <f>IF(B68&lt;&gt;"",IF(AND(المدخلات!$H$37="سنوي",MOD(B68,12)=0),المدخلات!$J$37,IF(AND(المدخلات!$H$37="القسط (الدفعة) الاول",B68=1),المدخلات!$J$37,IF(المدخلات!$H$37="شهري",المدخلات!$J$37,IF(AND(المدخلات!$H$37="End of the loan",B68=المدخلات!$E$39),المدخلات!$J$37,"")))),"")</f>
        <v/>
      </c>
      <c r="N68" s="6">
        <f t="shared" si="13"/>
        <v>184</v>
      </c>
      <c r="O68" s="4">
        <f t="shared" si="1"/>
        <v>5141.4165516832718</v>
      </c>
      <c r="S68" s="9">
        <f t="shared" si="2"/>
        <v>46842</v>
      </c>
      <c r="T68" s="5">
        <f t="shared" si="6"/>
        <v>5141.42</v>
      </c>
      <c r="U68" s="123"/>
      <c r="V68" s="97"/>
    </row>
    <row r="69" spans="1:24" x14ac:dyDescent="0.2">
      <c r="A69" s="1">
        <f t="shared" si="15"/>
        <v>5</v>
      </c>
      <c r="B69" s="16">
        <f t="shared" si="7"/>
        <v>52</v>
      </c>
      <c r="C69" s="9">
        <f t="shared" si="8"/>
        <v>46873</v>
      </c>
      <c r="D69" s="6">
        <f>IFERROR(PPMT(المدخلات!$E$35/12,B69,$C$6,المدخلات!$E$34,-$C$13,0)," ")</f>
        <v>-4559.8037415377567</v>
      </c>
      <c r="E69" s="6">
        <f>IFERROR(IPMT(المدخلات!$E$35/12,B69,$C$6,المدخلات!$E$34,-$C$13,0)," ")</f>
        <v>-397.61281014551548</v>
      </c>
      <c r="F69" s="6">
        <f t="shared" si="9"/>
        <v>-212803.00140026497</v>
      </c>
      <c r="G69" s="6">
        <f t="shared" si="10"/>
        <v>-44982.659287265211</v>
      </c>
      <c r="H69" s="6">
        <f t="shared" si="4"/>
        <v>-4957.4165516832718</v>
      </c>
      <c r="I69" s="6">
        <f t="shared" si="5"/>
        <v>87196.99859973503</v>
      </c>
      <c r="J69" s="6" t="str">
        <f>IF(B69&lt;&gt;"",IF(AND(المدخلات!$H$34="سنوي",MOD(B69,12)=0),المدخلات!$J$34,IF(AND(المدخلات!$H$34="القسط (الدفعة) الاول",B69=1),المدخلات!$J$34,IF(المدخلات!$H$34="شهري",المدخلات!$J$34,""))),"")</f>
        <v/>
      </c>
      <c r="K69" s="6" t="str">
        <f>IF(B69&lt;&gt;"",IF(AND(المدخلات!$H$35="سنوي",MOD(B69,12)=0),المدخلات!$J$35,IF(AND(المدخلات!$H$35="القسط (الدفعة) الاول",B69=1),المدخلات!$J$35,IF(المدخلات!$H$35="شهري",المدخلات!$J$35,""))),"")</f>
        <v/>
      </c>
      <c r="L69" s="6">
        <f>IF(B69&lt;=$C$6,(_xlfn.IFNA(IF(AND(المدخلات!$H$36="القسط (الدفعة) الاول",B69=1),المدخلات!$I$36,IF(المدخلات!$H$36="شهري",VLOOKUP(A69,المدخلات!$G$41:$L$46,6,0),IF(المدخلات!$H$36="سنوي",VLOOKUP('التمويل التأجيري'!B69,المدخلات!$K$41:$L$46,2,0),""))),""))," ")</f>
        <v>184</v>
      </c>
      <c r="M69" s="6" t="str">
        <f>IF(B69&lt;&gt;"",IF(AND(المدخلات!$H$37="سنوي",MOD(B69,12)=0),المدخلات!$J$37,IF(AND(المدخلات!$H$37="القسط (الدفعة) الاول",B69=1),المدخلات!$J$37,IF(المدخلات!$H$37="شهري",المدخلات!$J$37,IF(AND(المدخلات!$H$37="End of the loan",B69=المدخلات!$E$39),المدخلات!$J$37,"")))),"")</f>
        <v/>
      </c>
      <c r="N69" s="6">
        <f t="shared" si="13"/>
        <v>184</v>
      </c>
      <c r="O69" s="4">
        <f t="shared" si="1"/>
        <v>5141.4165516832718</v>
      </c>
      <c r="S69" s="9">
        <f t="shared" si="2"/>
        <v>46873</v>
      </c>
      <c r="T69" s="5">
        <f t="shared" si="6"/>
        <v>5141.42</v>
      </c>
      <c r="U69" s="123"/>
      <c r="V69" s="97"/>
    </row>
    <row r="70" spans="1:24" x14ac:dyDescent="0.2">
      <c r="A70" s="1">
        <f t="shared" si="15"/>
        <v>5</v>
      </c>
      <c r="B70" s="16">
        <f t="shared" si="7"/>
        <v>53</v>
      </c>
      <c r="C70" s="9">
        <f t="shared" si="8"/>
        <v>46903</v>
      </c>
      <c r="D70" s="6">
        <f>IFERROR(PPMT(المدخلات!$E$35/12,B70,$C$6,المدخلات!$E$34,-$C$13,0)," ")</f>
        <v>-4579.5628910844198</v>
      </c>
      <c r="E70" s="6">
        <f>IFERROR(IPMT(المدخلات!$E$35/12,B70,$C$6,المدخلات!$E$34,-$C$13,0)," ")</f>
        <v>-377.85366059885189</v>
      </c>
      <c r="F70" s="6">
        <f t="shared" si="9"/>
        <v>-217382.56429134938</v>
      </c>
      <c r="G70" s="6">
        <f t="shared" si="10"/>
        <v>-45360.512947864059</v>
      </c>
      <c r="H70" s="6">
        <f t="shared" si="4"/>
        <v>-4957.4165516832718</v>
      </c>
      <c r="I70" s="6">
        <f t="shared" si="5"/>
        <v>82617.435708650621</v>
      </c>
      <c r="J70" s="6" t="str">
        <f>IF(B70&lt;&gt;"",IF(AND(المدخلات!$H$34="سنوي",MOD(B70,12)=0),المدخلات!$J$34,IF(AND(المدخلات!$H$34="القسط (الدفعة) الاول",B70=1),المدخلات!$J$34,IF(المدخلات!$H$34="شهري",المدخلات!$J$34,""))),"")</f>
        <v/>
      </c>
      <c r="K70" s="6" t="str">
        <f>IF(B70&lt;&gt;"",IF(AND(المدخلات!$H$35="سنوي",MOD(B70,12)=0),المدخلات!$J$35,IF(AND(المدخلات!$H$35="القسط (الدفعة) الاول",B70=1),المدخلات!$J$35,IF(المدخلات!$H$35="شهري",المدخلات!$J$35,""))),"")</f>
        <v/>
      </c>
      <c r="L70" s="6">
        <f>IF(B70&lt;=$C$6,(_xlfn.IFNA(IF(AND(المدخلات!$H$36="القسط (الدفعة) الاول",B70=1),المدخلات!$I$36,IF(المدخلات!$H$36="شهري",VLOOKUP(A70,المدخلات!$G$41:$L$46,6,0),IF(المدخلات!$H$36="سنوي",VLOOKUP('التمويل التأجيري'!B70,المدخلات!$K$41:$L$46,2,0),""))),""))," ")</f>
        <v>184</v>
      </c>
      <c r="M70" s="6" t="str">
        <f>IF(B70&lt;&gt;"",IF(AND(المدخلات!$H$37="سنوي",MOD(B70,12)=0),المدخلات!$J$37,IF(AND(المدخلات!$H$37="القسط (الدفعة) الاول",B70=1),المدخلات!$J$37,IF(المدخلات!$H$37="شهري",المدخلات!$J$37,IF(AND(المدخلات!$H$37="End of the loan",B70=المدخلات!$E$39),المدخلات!$J$37,"")))),"")</f>
        <v/>
      </c>
      <c r="N70" s="6">
        <f t="shared" si="13"/>
        <v>184</v>
      </c>
      <c r="O70" s="4">
        <f t="shared" si="1"/>
        <v>5141.4165516832718</v>
      </c>
      <c r="S70" s="9">
        <f t="shared" si="2"/>
        <v>46903</v>
      </c>
      <c r="T70" s="5">
        <f t="shared" si="6"/>
        <v>5141.42</v>
      </c>
      <c r="U70" s="123"/>
      <c r="V70" s="97"/>
    </row>
    <row r="71" spans="1:24" x14ac:dyDescent="0.2">
      <c r="A71" s="1">
        <f t="shared" si="15"/>
        <v>5</v>
      </c>
      <c r="B71" s="16">
        <f t="shared" si="7"/>
        <v>54</v>
      </c>
      <c r="C71" s="9">
        <f t="shared" si="8"/>
        <v>46934</v>
      </c>
      <c r="D71" s="6">
        <f>IFERROR(PPMT(المدخلات!$E$35/12,B71,$C$6,المدخلات!$E$34,-$C$13,0)," ")</f>
        <v>-4599.4076636124528</v>
      </c>
      <c r="E71" s="6">
        <f>IFERROR(IPMT(المدخلات!$E$35/12,B71,$C$6,المدخلات!$E$34,-$C$13,0)," ")</f>
        <v>-358.00888807081941</v>
      </c>
      <c r="F71" s="6">
        <f t="shared" si="9"/>
        <v>-221981.97195496183</v>
      </c>
      <c r="G71" s="6">
        <f t="shared" si="10"/>
        <v>-45718.52183593488</v>
      </c>
      <c r="H71" s="6">
        <f t="shared" si="4"/>
        <v>-4957.4165516832718</v>
      </c>
      <c r="I71" s="6">
        <f t="shared" si="5"/>
        <v>78018.028045038169</v>
      </c>
      <c r="J71" s="6" t="str">
        <f>IF(B71&lt;&gt;"",IF(AND(المدخلات!$H$34="سنوي",MOD(B71,12)=0),المدخلات!$J$34,IF(AND(المدخلات!$H$34="القسط (الدفعة) الاول",B71=1),المدخلات!$J$34,IF(المدخلات!$H$34="شهري",المدخلات!$J$34,""))),"")</f>
        <v/>
      </c>
      <c r="K71" s="6" t="str">
        <f>IF(B71&lt;&gt;"",IF(AND(المدخلات!$H$35="سنوي",MOD(B71,12)=0),المدخلات!$J$35,IF(AND(المدخلات!$H$35="القسط (الدفعة) الاول",B71=1),المدخلات!$J$35,IF(المدخلات!$H$35="شهري",المدخلات!$J$35,""))),"")</f>
        <v/>
      </c>
      <c r="L71" s="6">
        <f>IF(B71&lt;=$C$6,(_xlfn.IFNA(IF(AND(المدخلات!$H$36="القسط (الدفعة) الاول",B71=1),المدخلات!$I$36,IF(المدخلات!$H$36="شهري",VLOOKUP(A71,المدخلات!$G$41:$L$46,6,0),IF(المدخلات!$H$36="سنوي",VLOOKUP('التمويل التأجيري'!B71,المدخلات!$K$41:$L$46,2,0),""))),""))," ")</f>
        <v>184</v>
      </c>
      <c r="M71" s="6" t="str">
        <f>IF(B71&lt;&gt;"",IF(AND(المدخلات!$H$37="سنوي",MOD(B71,12)=0),المدخلات!$J$37,IF(AND(المدخلات!$H$37="القسط (الدفعة) الاول",B71=1),المدخلات!$J$37,IF(المدخلات!$H$37="شهري",المدخلات!$J$37,IF(AND(المدخلات!$H$37="End of the loan",B71=المدخلات!$E$39),المدخلات!$J$37,"")))),"")</f>
        <v/>
      </c>
      <c r="N71" s="6">
        <f t="shared" si="13"/>
        <v>184</v>
      </c>
      <c r="O71" s="4">
        <f t="shared" si="1"/>
        <v>5141.4165516832718</v>
      </c>
      <c r="S71" s="9">
        <f t="shared" si="2"/>
        <v>46934</v>
      </c>
      <c r="T71" s="5">
        <f t="shared" si="6"/>
        <v>5141.42</v>
      </c>
      <c r="U71" s="123"/>
      <c r="V71" s="97"/>
    </row>
    <row r="72" spans="1:24" x14ac:dyDescent="0.2">
      <c r="A72" s="1">
        <f t="shared" si="15"/>
        <v>5</v>
      </c>
      <c r="B72" s="16">
        <f t="shared" si="7"/>
        <v>55</v>
      </c>
      <c r="C72" s="9">
        <f t="shared" si="8"/>
        <v>46964</v>
      </c>
      <c r="D72" s="6">
        <f>IFERROR(PPMT(المدخلات!$E$35/12,B72,$C$6,المدخلات!$E$34,-$C$13,0)," ")</f>
        <v>-4619.3384301547731</v>
      </c>
      <c r="E72" s="6">
        <f>IFERROR(IPMT(المدخلات!$E$35/12,B72,$C$6,المدخلات!$E$34,-$C$13,0)," ")</f>
        <v>-338.0781215284988</v>
      </c>
      <c r="F72" s="6">
        <f t="shared" si="9"/>
        <v>-226601.31038511661</v>
      </c>
      <c r="G72" s="6">
        <f t="shared" si="10"/>
        <v>-46056.599957463382</v>
      </c>
      <c r="H72" s="6">
        <f t="shared" si="4"/>
        <v>-4957.4165516832718</v>
      </c>
      <c r="I72" s="6">
        <f t="shared" si="5"/>
        <v>73398.689614883391</v>
      </c>
      <c r="J72" s="6" t="str">
        <f>IF(B72&lt;&gt;"",IF(AND(المدخلات!$H$34="سنوي",MOD(B72,12)=0),المدخلات!$J$34,IF(AND(المدخلات!$H$34="القسط (الدفعة) الاول",B72=1),المدخلات!$J$34,IF(المدخلات!$H$34="شهري",المدخلات!$J$34,""))),"")</f>
        <v/>
      </c>
      <c r="K72" s="6" t="str">
        <f>IF(B72&lt;&gt;"",IF(AND(المدخلات!$H$35="سنوي",MOD(B72,12)=0),المدخلات!$J$35,IF(AND(المدخلات!$H$35="القسط (الدفعة) الاول",B72=1),المدخلات!$J$35,IF(المدخلات!$H$35="شهري",المدخلات!$J$35,""))),"")</f>
        <v/>
      </c>
      <c r="L72" s="6">
        <f>IF(B72&lt;=$C$6,(_xlfn.IFNA(IF(AND(المدخلات!$H$36="القسط (الدفعة) الاول",B72=1),المدخلات!$I$36,IF(المدخلات!$H$36="شهري",VLOOKUP(A72,المدخلات!$G$41:$L$46,6,0),IF(المدخلات!$H$36="سنوي",VLOOKUP('التمويل التأجيري'!B72,المدخلات!$K$41:$L$46,2,0),""))),""))," ")</f>
        <v>184</v>
      </c>
      <c r="M72" s="6" t="str">
        <f>IF(B72&lt;&gt;"",IF(AND(المدخلات!$H$37="سنوي",MOD(B72,12)=0),المدخلات!$J$37,IF(AND(المدخلات!$H$37="القسط (الدفعة) الاول",B72=1),المدخلات!$J$37,IF(المدخلات!$H$37="شهري",المدخلات!$J$37,IF(AND(المدخلات!$H$37="End of the loan",B72=المدخلات!$E$39),المدخلات!$J$37,"")))),"")</f>
        <v/>
      </c>
      <c r="N72" s="6">
        <f t="shared" si="13"/>
        <v>184</v>
      </c>
      <c r="O72" s="4">
        <f t="shared" si="1"/>
        <v>5141.4165516832718</v>
      </c>
      <c r="S72" s="9">
        <f t="shared" si="2"/>
        <v>46964</v>
      </c>
      <c r="T72" s="5">
        <f t="shared" si="6"/>
        <v>5141.42</v>
      </c>
      <c r="U72" s="123"/>
      <c r="V72" s="97"/>
    </row>
    <row r="73" spans="1:24" x14ac:dyDescent="0.2">
      <c r="A73" s="1">
        <f t="shared" si="15"/>
        <v>5</v>
      </c>
      <c r="B73" s="16">
        <f t="shared" si="7"/>
        <v>56</v>
      </c>
      <c r="C73" s="9">
        <f t="shared" si="8"/>
        <v>46995</v>
      </c>
      <c r="D73" s="6">
        <f>IFERROR(PPMT(المدخلات!$E$35/12,B73,$C$6,المدخلات!$E$34,-$C$13,0)," ")</f>
        <v>-4639.35556335211</v>
      </c>
      <c r="E73" s="6">
        <f>IFERROR(IPMT(المدخلات!$E$35/12,B73,$C$6,المدخلات!$E$34,-$C$13,0)," ")</f>
        <v>-318.06098833116147</v>
      </c>
      <c r="F73" s="6">
        <f t="shared" si="9"/>
        <v>-231240.66594846873</v>
      </c>
      <c r="G73" s="6">
        <f t="shared" si="10"/>
        <v>-46374.660945794545</v>
      </c>
      <c r="H73" s="6">
        <f t="shared" si="4"/>
        <v>-4957.4165516832718</v>
      </c>
      <c r="I73" s="6">
        <f t="shared" si="5"/>
        <v>68759.334051531274</v>
      </c>
      <c r="J73" s="6" t="str">
        <f>IF(B73&lt;&gt;"",IF(AND(المدخلات!$H$34="سنوي",MOD(B73,12)=0),المدخلات!$J$34,IF(AND(المدخلات!$H$34="القسط (الدفعة) الاول",B73=1),المدخلات!$J$34,IF(المدخلات!$H$34="شهري",المدخلات!$J$34,""))),"")</f>
        <v/>
      </c>
      <c r="K73" s="6" t="str">
        <f>IF(B73&lt;&gt;"",IF(AND(المدخلات!$H$35="سنوي",MOD(B73,12)=0),المدخلات!$J$35,IF(AND(المدخلات!$H$35="القسط (الدفعة) الاول",B73=1),المدخلات!$J$35,IF(المدخلات!$H$35="شهري",المدخلات!$J$35,""))),"")</f>
        <v/>
      </c>
      <c r="L73" s="6">
        <f>IF(B73&lt;=$C$6,(_xlfn.IFNA(IF(AND(المدخلات!$H$36="القسط (الدفعة) الاول",B73=1),المدخلات!$I$36,IF(المدخلات!$H$36="شهري",VLOOKUP(A73,المدخلات!$G$41:$L$46,6,0),IF(المدخلات!$H$36="سنوي",VLOOKUP('التمويل التأجيري'!B73,المدخلات!$K$41:$L$46,2,0),""))),""))," ")</f>
        <v>184</v>
      </c>
      <c r="M73" s="6" t="str">
        <f>IF(B73&lt;&gt;"",IF(AND(المدخلات!$H$37="سنوي",MOD(B73,12)=0),المدخلات!$J$37,IF(AND(المدخلات!$H$37="القسط (الدفعة) الاول",B73=1),المدخلات!$J$37,IF(المدخلات!$H$37="شهري",المدخلات!$J$37,IF(AND(المدخلات!$H$37="End of the loan",B73=المدخلات!$E$39),المدخلات!$J$37,"")))),"")</f>
        <v/>
      </c>
      <c r="N73" s="6">
        <f t="shared" si="13"/>
        <v>184</v>
      </c>
      <c r="O73" s="4">
        <f t="shared" si="1"/>
        <v>5141.4165516832718</v>
      </c>
      <c r="S73" s="9">
        <f t="shared" si="2"/>
        <v>46995</v>
      </c>
      <c r="T73" s="5">
        <f t="shared" si="6"/>
        <v>5141.42</v>
      </c>
      <c r="U73" s="123"/>
      <c r="V73" s="97"/>
    </row>
    <row r="74" spans="1:24" x14ac:dyDescent="0.2">
      <c r="A74" s="1">
        <f t="shared" ref="A74:A82" si="16">IF(B74&lt;&gt;"",5,"")</f>
        <v>5</v>
      </c>
      <c r="B74" s="16">
        <f t="shared" si="7"/>
        <v>57</v>
      </c>
      <c r="C74" s="9">
        <f t="shared" si="8"/>
        <v>47026</v>
      </c>
      <c r="D74" s="6">
        <f>IFERROR(PPMT(المدخلات!$E$35/12,B74,$C$6,المدخلات!$E$34,-$C$13,0)," ")</f>
        <v>-4659.4594374599692</v>
      </c>
      <c r="E74" s="6">
        <f>IFERROR(IPMT(المدخلات!$E$35/12,B74,$C$6,المدخلات!$E$34,-$C$13,0)," ")</f>
        <v>-297.95711422330231</v>
      </c>
      <c r="F74" s="6">
        <f t="shared" si="9"/>
        <v>-235900.1253859287</v>
      </c>
      <c r="G74" s="6">
        <f t="shared" si="10"/>
        <v>-46672.618060017849</v>
      </c>
      <c r="H74" s="6">
        <f t="shared" si="4"/>
        <v>-4957.4165516832718</v>
      </c>
      <c r="I74" s="6">
        <f t="shared" ref="I74:I77" si="17">+IFERROR($C$8+F74,"")</f>
        <v>64099.874614071305</v>
      </c>
      <c r="J74" s="6" t="str">
        <f>IF(B74&lt;&gt;"",IF(AND(المدخلات!$H$34="سنوي",MOD(B74,12)=0),المدخلات!$J$34,IF(AND(المدخلات!$H$34="القسط (الدفعة) الاول",B74=1),المدخلات!$J$34,IF(المدخلات!$H$34="شهري",المدخلات!$J$34,""))),"")</f>
        <v/>
      </c>
      <c r="K74" s="6" t="str">
        <f>IF(B74&lt;&gt;"",IF(AND(المدخلات!$H$35="سنوي",MOD(B74,12)=0),المدخلات!$J$35,IF(AND(المدخلات!$H$35="القسط (الدفعة) الاول",B74=1),المدخلات!$J$35,IF(المدخلات!$H$35="شهري",المدخلات!$J$35,""))),"")</f>
        <v/>
      </c>
      <c r="L74" s="6">
        <f>IF(B74&lt;=$C$6,(_xlfn.IFNA(IF(AND(المدخلات!$H$36="القسط (الدفعة) الاول",B74=1),المدخلات!$I$36,IF(المدخلات!$H$36="شهري",VLOOKUP(A74,المدخلات!$G$41:$L$46,6,0),IF(المدخلات!$H$36="سنوي",VLOOKUP('التمويل التأجيري'!B74,المدخلات!$K$41:$L$46,2,0),""))),""))," ")</f>
        <v>184</v>
      </c>
      <c r="M74" s="6" t="str">
        <f>IF(B74&lt;&gt;"",IF(AND(المدخلات!$H$37="سنوي",MOD(B74,12)=0),المدخلات!$J$37,IF(AND(المدخلات!$H$37="القسط (الدفعة) الاول",B74=1),المدخلات!$J$37,IF(المدخلات!$H$37="شهري",المدخلات!$J$37,IF(AND(المدخلات!$H$37="End of the loan",B74=المدخلات!$E$39),المدخلات!$J$37,"")))),"")</f>
        <v/>
      </c>
      <c r="N74" s="6">
        <f t="shared" si="13"/>
        <v>184</v>
      </c>
      <c r="O74" s="4">
        <f t="shared" si="1"/>
        <v>5141.4165516832718</v>
      </c>
      <c r="S74" s="9">
        <f t="shared" ref="S74:S77" si="18">C74</f>
        <v>47026</v>
      </c>
      <c r="T74" s="5">
        <f t="shared" si="6"/>
        <v>5141.42</v>
      </c>
      <c r="U74" s="123"/>
      <c r="V74" s="97"/>
    </row>
    <row r="75" spans="1:24" x14ac:dyDescent="0.2">
      <c r="A75" s="1">
        <f t="shared" si="16"/>
        <v>5</v>
      </c>
      <c r="B75" s="16">
        <f t="shared" si="7"/>
        <v>58</v>
      </c>
      <c r="C75" s="9">
        <f t="shared" si="8"/>
        <v>47056</v>
      </c>
      <c r="D75" s="6">
        <f>IFERROR(PPMT(المدخلات!$E$35/12,B75,$C$6,المدخلات!$E$34,-$C$13,0)," ")</f>
        <v>-4679.6504283556296</v>
      </c>
      <c r="E75" s="6">
        <f>IFERROR(IPMT(المدخلات!$E$35/12,B75,$C$6,المدخلات!$E$34,-$C$13,0)," ")</f>
        <v>-277.76612332764245</v>
      </c>
      <c r="F75" s="6">
        <f t="shared" si="9"/>
        <v>-240579.77581428434</v>
      </c>
      <c r="G75" s="6">
        <f t="shared" si="10"/>
        <v>-46950.384183345494</v>
      </c>
      <c r="H75" s="6">
        <f t="shared" si="4"/>
        <v>-4957.4165516832718</v>
      </c>
      <c r="I75" s="6">
        <f t="shared" si="17"/>
        <v>59420.224185715662</v>
      </c>
      <c r="J75" s="6" t="str">
        <f>IF(B75&lt;&gt;"",IF(AND(المدخلات!$H$34="سنوي",MOD(B75,12)=0),المدخلات!$J$34,IF(AND(المدخلات!$H$34="القسط (الدفعة) الاول",B75=1),المدخلات!$J$34,IF(المدخلات!$H$34="شهري",المدخلات!$J$34,""))),"")</f>
        <v/>
      </c>
      <c r="K75" s="6" t="str">
        <f>IF(B75&lt;&gt;"",IF(AND(المدخلات!$H$35="سنوي",MOD(B75,12)=0),المدخلات!$J$35,IF(AND(المدخلات!$H$35="القسط (الدفعة) الاول",B75=1),المدخلات!$J$35,IF(المدخلات!$H$35="شهري",المدخلات!$J$35,""))),"")</f>
        <v/>
      </c>
      <c r="L75" s="6">
        <f>IF(B75&lt;=$C$6,(_xlfn.IFNA(IF(AND(المدخلات!$H$36="القسط (الدفعة) الاول",B75=1),المدخلات!$I$36,IF(المدخلات!$H$36="شهري",VLOOKUP(A75,المدخلات!$G$41:$L$46,6,0),IF(المدخلات!$H$36="سنوي",VLOOKUP('التمويل التأجيري'!B75,المدخلات!$K$41:$L$46,2,0),""))),""))," ")</f>
        <v>184</v>
      </c>
      <c r="M75" s="6" t="str">
        <f>IF(B75&lt;&gt;"",IF(AND(المدخلات!$H$37="سنوي",MOD(B75,12)=0),المدخلات!$J$37,IF(AND(المدخلات!$H$37="القسط (الدفعة) الاول",B75=1),المدخلات!$J$37,IF(المدخلات!$H$37="شهري",المدخلات!$J$37,IF(AND(المدخلات!$H$37="End of the loan",B75=المدخلات!$E$39),المدخلات!$J$37,"")))),"")</f>
        <v/>
      </c>
      <c r="N75" s="6">
        <f t="shared" si="13"/>
        <v>184</v>
      </c>
      <c r="O75" s="4">
        <f t="shared" si="1"/>
        <v>5141.4165516832718</v>
      </c>
      <c r="S75" s="9">
        <f t="shared" si="18"/>
        <v>47056</v>
      </c>
      <c r="T75" s="5">
        <f t="shared" si="6"/>
        <v>5141.42</v>
      </c>
      <c r="U75" s="123"/>
      <c r="V75" s="97"/>
    </row>
    <row r="76" spans="1:24" x14ac:dyDescent="0.2">
      <c r="A76" s="1">
        <f t="shared" si="16"/>
        <v>5</v>
      </c>
      <c r="B76" s="16">
        <f t="shared" si="7"/>
        <v>59</v>
      </c>
      <c r="C76" s="9">
        <f t="shared" si="8"/>
        <v>47087</v>
      </c>
      <c r="D76" s="6">
        <f>IFERROR(PPMT(المدخلات!$E$35/12,B76,$C$6,المدخلات!$E$34,-$C$13,0)," ")</f>
        <v>-4699.9289135451709</v>
      </c>
      <c r="E76" s="6">
        <f>IFERROR(IPMT(المدخلات!$E$35/12,B76,$C$6,المدخلات!$E$34,-$C$13,0)," ")</f>
        <v>-257.48763813810137</v>
      </c>
      <c r="F76" s="6">
        <f t="shared" si="9"/>
        <v>-245279.70472782952</v>
      </c>
      <c r="G76" s="6">
        <f t="shared" si="10"/>
        <v>-47207.871821483597</v>
      </c>
      <c r="H76" s="6">
        <f t="shared" si="4"/>
        <v>-4957.4165516832727</v>
      </c>
      <c r="I76" s="6">
        <f t="shared" si="17"/>
        <v>54720.295272170479</v>
      </c>
      <c r="J76" s="6" t="str">
        <f>IF(B76&lt;&gt;"",IF(AND(المدخلات!$H$34="سنوي",MOD(B76,12)=0),المدخلات!$J$34,IF(AND(المدخلات!$H$34="القسط (الدفعة) الاول",B76=1),المدخلات!$J$34,IF(المدخلات!$H$34="شهري",المدخلات!$J$34,""))),"")</f>
        <v/>
      </c>
      <c r="K76" s="6" t="str">
        <f>IF(B76&lt;&gt;"",IF(AND(المدخلات!$H$35="سنوي",MOD(B76,12)=0),المدخلات!$J$35,IF(AND(المدخلات!$H$35="القسط (الدفعة) الاول",B76=1),المدخلات!$J$35,IF(المدخلات!$H$35="شهري",المدخلات!$J$35,""))),"")</f>
        <v/>
      </c>
      <c r="L76" s="6">
        <f>IF(B76&lt;=$C$6,(_xlfn.IFNA(IF(AND(المدخلات!$H$36="القسط (الدفعة) الاول",B76=1),المدخلات!$I$36,IF(المدخلات!$H$36="شهري",VLOOKUP(A76,المدخلات!$G$41:$L$46,6,0),IF(المدخلات!$H$36="سنوي",VLOOKUP('التمويل التأجيري'!B76,المدخلات!$K$41:$L$46,2,0),""))),""))," ")</f>
        <v>184</v>
      </c>
      <c r="M76" s="6" t="str">
        <f>IF(B76&lt;&gt;"",IF(AND(المدخلات!$H$37="سنوي",MOD(B76,12)=0),المدخلات!$J$37,IF(AND(المدخلات!$H$37="القسط (الدفعة) الاول",B76=1),المدخلات!$J$37,IF(المدخلات!$H$37="شهري",المدخلات!$J$37,IF(AND(المدخلات!$H$37="End of the loan",B76=المدخلات!$E$39),المدخلات!$J$37,"")))),"")</f>
        <v/>
      </c>
      <c r="N76" s="6">
        <f t="shared" si="13"/>
        <v>184</v>
      </c>
      <c r="O76" s="4">
        <f t="shared" si="1"/>
        <v>5141.4165516832727</v>
      </c>
      <c r="S76" s="9">
        <f t="shared" si="18"/>
        <v>47087</v>
      </c>
      <c r="T76" s="5">
        <f t="shared" si="6"/>
        <v>5141.42</v>
      </c>
      <c r="U76" s="123"/>
      <c r="V76" s="97"/>
    </row>
    <row r="77" spans="1:24" x14ac:dyDescent="0.2">
      <c r="A77" s="1">
        <f t="shared" si="16"/>
        <v>5</v>
      </c>
      <c r="B77" s="16">
        <f t="shared" si="7"/>
        <v>60</v>
      </c>
      <c r="C77" s="9">
        <f t="shared" si="8"/>
        <v>47117</v>
      </c>
      <c r="D77" s="6">
        <f>IFERROR(PPMT(المدخلات!$E$35/12,B77,$C$6,المدخلات!$E$34,-$C$13,0)," ")</f>
        <v>-4720.2952721705324</v>
      </c>
      <c r="E77" s="6">
        <f>IFERROR(IPMT(المدخلات!$E$35/12,B77,$C$6,المدخلات!$E$34,-$C$13,0)," ")</f>
        <v>-237.12127951273894</v>
      </c>
      <c r="F77" s="6">
        <f t="shared" si="9"/>
        <v>-250000.00000000006</v>
      </c>
      <c r="G77" s="6">
        <f t="shared" si="10"/>
        <v>-47444.993100996333</v>
      </c>
      <c r="H77" s="6">
        <f t="shared" si="4"/>
        <v>-54957.416551683273</v>
      </c>
      <c r="I77" s="6">
        <f t="shared" si="17"/>
        <v>49999.999999999942</v>
      </c>
      <c r="J77" s="6" t="str">
        <f>IF(B77&lt;&gt;"",IF(AND(المدخلات!$H$34="سنوي",MOD(B77,12)=0),المدخلات!$J$34,IF(AND(المدخلات!$H$34="القسط (الدفعة) الاول",B77=1),المدخلات!$J$34,IF(المدخلات!$H$34="شهري",المدخلات!$J$34,""))),"")</f>
        <v/>
      </c>
      <c r="K77" s="6">
        <f>IF(B77&lt;&gt;"",IF(AND(المدخلات!$H$35="سنوي",MOD(B77,12)=0),المدخلات!$J$35,IF(AND(المدخلات!$H$35="القسط (الدفعة) الاول",B77=1),المدخلات!$J$35,IF(المدخلات!$H$35="شهري",المدخلات!$J$35,""))),"")</f>
        <v>0</v>
      </c>
      <c r="L77" s="6">
        <f>IF(B77&lt;=$C$6,(_xlfn.IFNA(IF(AND(المدخلات!$H$36="القسط (الدفعة) الاول",B77=1),المدخلات!$I$36,IF(المدخلات!$H$36="شهري",VLOOKUP(A77,المدخلات!$G$41:$L$46,6,0),IF(المدخلات!$H$36="سنوي",VLOOKUP('التمويل التأجيري'!B77,المدخلات!$K$41:$L$46,2,0),""))),""))," ")</f>
        <v>184</v>
      </c>
      <c r="M77" s="6" t="str">
        <f>IF(B77&lt;&gt;"",IF(AND(المدخلات!$H$37="سنوي",MOD(B77,12)=0),المدخلات!$J$37,IF(AND(المدخلات!$H$37="القسط (الدفعة) الاول",B77=1),المدخلات!$J$37,IF(المدخلات!$H$37="شهري",المدخلات!$J$37,IF(AND(المدخلات!$H$37="End of the loan",B77=المدخلات!$E$39),المدخلات!$J$37,"")))),"")</f>
        <v/>
      </c>
      <c r="N77" s="6">
        <f t="shared" si="13"/>
        <v>184</v>
      </c>
      <c r="O77" s="4">
        <f t="shared" si="1"/>
        <v>55141.416551683273</v>
      </c>
      <c r="S77" s="9">
        <f t="shared" si="18"/>
        <v>47117</v>
      </c>
      <c r="T77" s="5">
        <f t="shared" si="6"/>
        <v>55141.42</v>
      </c>
      <c r="U77" s="123"/>
      <c r="V77" s="97"/>
    </row>
    <row r="78" spans="1:24" x14ac:dyDescent="0.2">
      <c r="A78" s="1" t="str">
        <f t="shared" si="16"/>
        <v/>
      </c>
      <c r="B78" s="180"/>
      <c r="C78" s="181"/>
      <c r="D78" s="182"/>
      <c r="E78" s="182"/>
      <c r="F78" s="182"/>
      <c r="G78" s="182"/>
      <c r="H78" s="182"/>
      <c r="I78" s="182"/>
      <c r="J78" s="182"/>
      <c r="K78" s="182"/>
      <c r="L78" s="182"/>
      <c r="M78" s="182"/>
      <c r="N78" s="182"/>
      <c r="O78" s="183"/>
      <c r="P78" s="11"/>
      <c r="Q78" s="11"/>
      <c r="R78" s="11"/>
      <c r="S78" s="181"/>
      <c r="T78" s="184"/>
      <c r="U78" s="196"/>
      <c r="V78" s="197"/>
      <c r="W78" s="11"/>
      <c r="X78" s="11"/>
    </row>
    <row r="79" spans="1:24" x14ac:dyDescent="0.2">
      <c r="A79" s="1" t="str">
        <f t="shared" si="16"/>
        <v/>
      </c>
      <c r="B79" s="32"/>
      <c r="C79" s="62"/>
      <c r="D79" s="186"/>
      <c r="E79" s="186"/>
      <c r="F79" s="186"/>
      <c r="G79" s="186"/>
      <c r="H79" s="186"/>
      <c r="I79" s="186"/>
      <c r="J79" s="186"/>
      <c r="K79" s="186"/>
      <c r="L79" s="186"/>
      <c r="M79" s="186"/>
      <c r="N79" s="186"/>
      <c r="O79" s="67"/>
      <c r="P79" s="11"/>
      <c r="Q79" s="11"/>
      <c r="R79" s="11"/>
      <c r="S79" s="62"/>
      <c r="T79" s="187"/>
      <c r="U79" s="11"/>
      <c r="V79" s="197"/>
      <c r="W79" s="11"/>
      <c r="X79" s="11"/>
    </row>
    <row r="80" spans="1:24" x14ac:dyDescent="0.2">
      <c r="A80" s="1" t="str">
        <f t="shared" si="16"/>
        <v/>
      </c>
      <c r="B80" s="32"/>
      <c r="C80" s="62"/>
      <c r="D80" s="186"/>
      <c r="E80" s="186"/>
      <c r="F80" s="186"/>
      <c r="G80" s="186"/>
      <c r="H80" s="186"/>
      <c r="I80" s="186"/>
      <c r="J80" s="186"/>
      <c r="K80" s="186"/>
      <c r="L80" s="186"/>
      <c r="M80" s="186"/>
      <c r="N80" s="186"/>
      <c r="O80" s="67"/>
      <c r="P80" s="11"/>
      <c r="Q80" s="11"/>
      <c r="R80" s="11"/>
      <c r="S80" s="62"/>
      <c r="T80" s="187"/>
      <c r="U80" s="11"/>
      <c r="V80" s="197"/>
      <c r="W80" s="11"/>
      <c r="X80" s="11"/>
    </row>
    <row r="81" spans="1:24" x14ac:dyDescent="0.2">
      <c r="A81" s="1" t="str">
        <f t="shared" si="16"/>
        <v/>
      </c>
      <c r="B81" s="32"/>
      <c r="C81" s="62"/>
      <c r="D81" s="186"/>
      <c r="E81" s="186"/>
      <c r="F81" s="186"/>
      <c r="G81" s="186"/>
      <c r="H81" s="186"/>
      <c r="I81" s="186"/>
      <c r="J81" s="186"/>
      <c r="K81" s="186"/>
      <c r="L81" s="186"/>
      <c r="M81" s="186"/>
      <c r="N81" s="186"/>
      <c r="O81" s="67"/>
      <c r="P81" s="11"/>
      <c r="Q81" s="11"/>
      <c r="R81" s="11"/>
      <c r="S81" s="62"/>
      <c r="T81" s="187"/>
      <c r="U81" s="11"/>
      <c r="V81" s="197"/>
      <c r="W81" s="11"/>
      <c r="X81" s="11"/>
    </row>
    <row r="82" spans="1:24" x14ac:dyDescent="0.2">
      <c r="A82" s="1" t="str">
        <f t="shared" si="16"/>
        <v/>
      </c>
      <c r="B82" s="32"/>
      <c r="C82" s="62"/>
      <c r="D82" s="186"/>
      <c r="E82" s="186"/>
      <c r="F82" s="186"/>
      <c r="G82" s="186"/>
      <c r="H82" s="186"/>
      <c r="I82" s="186"/>
      <c r="J82" s="186"/>
      <c r="K82" s="186"/>
      <c r="L82" s="186"/>
      <c r="M82" s="186"/>
      <c r="N82" s="186"/>
      <c r="O82" s="67"/>
      <c r="P82" s="11"/>
      <c r="Q82" s="11"/>
      <c r="R82" s="11"/>
      <c r="S82" s="62"/>
      <c r="T82" s="187"/>
      <c r="U82" s="11"/>
      <c r="V82" s="197"/>
      <c r="W82" s="11"/>
      <c r="X82" s="11"/>
    </row>
    <row r="83" spans="1:24" x14ac:dyDescent="0.2">
      <c r="B83" s="11"/>
      <c r="C83" s="11"/>
      <c r="D83" s="67"/>
      <c r="E83" s="11"/>
      <c r="F83" s="11"/>
      <c r="G83" s="11"/>
      <c r="H83" s="67"/>
      <c r="I83" s="11"/>
      <c r="J83" s="11"/>
      <c r="K83" s="11"/>
      <c r="L83" s="67"/>
      <c r="M83" s="11"/>
      <c r="N83" s="11"/>
      <c r="O83" s="11"/>
      <c r="P83" s="11"/>
      <c r="Q83" s="11"/>
      <c r="R83" s="11"/>
      <c r="S83" s="11"/>
      <c r="T83" s="11"/>
      <c r="U83" s="11"/>
      <c r="V83" s="11"/>
      <c r="W83" s="11"/>
      <c r="X83" s="11"/>
    </row>
    <row r="84" spans="1:24" x14ac:dyDescent="0.2">
      <c r="B84" s="11"/>
      <c r="C84" s="11"/>
      <c r="D84" s="11"/>
      <c r="E84" s="11"/>
      <c r="F84" s="11"/>
      <c r="G84" s="11"/>
      <c r="H84" s="11"/>
      <c r="I84" s="11"/>
      <c r="J84" s="11"/>
      <c r="K84" s="11"/>
      <c r="L84" s="11"/>
      <c r="M84" s="11"/>
      <c r="N84" s="11"/>
      <c r="O84" s="11"/>
      <c r="P84" s="11"/>
      <c r="Q84" s="11"/>
      <c r="R84" s="11"/>
      <c r="S84" s="11"/>
      <c r="T84" s="11"/>
      <c r="U84" s="11"/>
      <c r="V84" s="11"/>
      <c r="W84" s="11"/>
      <c r="X84" s="11"/>
    </row>
    <row r="85" spans="1:24" x14ac:dyDescent="0.2">
      <c r="B85" s="11"/>
      <c r="C85" s="11"/>
      <c r="D85" s="11"/>
      <c r="E85" s="11"/>
      <c r="F85" s="11"/>
      <c r="G85" s="11"/>
      <c r="H85" s="11"/>
      <c r="I85" s="11"/>
      <c r="J85" s="11"/>
      <c r="K85" s="11"/>
      <c r="L85" s="11"/>
      <c r="M85" s="11"/>
      <c r="N85" s="11"/>
      <c r="O85" s="11"/>
      <c r="P85" s="11"/>
      <c r="Q85" s="11"/>
      <c r="R85" s="11"/>
      <c r="S85" s="11"/>
      <c r="T85" s="11"/>
      <c r="U85" s="11"/>
      <c r="V85" s="11"/>
      <c r="W85" s="11"/>
      <c r="X85" s="11"/>
    </row>
    <row r="86" spans="1:24" x14ac:dyDescent="0.2">
      <c r="B86" s="11"/>
      <c r="C86" s="11"/>
      <c r="D86" s="11"/>
      <c r="E86" s="11"/>
      <c r="F86" s="11"/>
      <c r="G86" s="11"/>
      <c r="H86" s="11"/>
      <c r="I86" s="11"/>
      <c r="J86" s="11"/>
      <c r="K86" s="11"/>
      <c r="L86" s="11"/>
      <c r="M86" s="11"/>
      <c r="N86" s="11"/>
      <c r="O86" s="11"/>
      <c r="P86" s="11"/>
      <c r="Q86" s="11"/>
      <c r="R86" s="11"/>
      <c r="S86" s="11"/>
      <c r="T86" s="11"/>
      <c r="U86" s="11"/>
      <c r="V86" s="11"/>
      <c r="W86" s="11"/>
      <c r="X86" s="11"/>
    </row>
    <row r="87" spans="1:24" x14ac:dyDescent="0.2">
      <c r="B87" s="11"/>
      <c r="C87" s="11"/>
      <c r="D87" s="11"/>
      <c r="E87" s="11"/>
      <c r="F87" s="11"/>
      <c r="G87" s="11"/>
      <c r="H87" s="11"/>
      <c r="I87" s="11"/>
      <c r="J87" s="11"/>
      <c r="K87" s="11"/>
      <c r="L87" s="11"/>
      <c r="M87" s="11"/>
      <c r="N87" s="11"/>
      <c r="O87" s="11"/>
      <c r="P87" s="11"/>
      <c r="Q87" s="11"/>
      <c r="R87" s="11"/>
      <c r="S87" s="11"/>
      <c r="T87" s="11"/>
      <c r="U87" s="11"/>
      <c r="V87" s="11"/>
      <c r="W87" s="11"/>
      <c r="X87" s="11"/>
    </row>
    <row r="88" spans="1:24" x14ac:dyDescent="0.2">
      <c r="B88" s="11"/>
      <c r="C88" s="11"/>
      <c r="D88" s="11"/>
      <c r="E88" s="11"/>
      <c r="F88" s="11"/>
      <c r="G88" s="11"/>
      <c r="H88" s="11"/>
      <c r="I88" s="11"/>
      <c r="J88" s="11"/>
      <c r="K88" s="11"/>
      <c r="L88" s="11"/>
      <c r="M88" s="11"/>
      <c r="N88" s="11"/>
      <c r="O88" s="11"/>
      <c r="P88" s="11"/>
      <c r="Q88" s="11"/>
      <c r="R88" s="11"/>
      <c r="S88" s="11"/>
      <c r="T88" s="11"/>
      <c r="U88" s="11"/>
      <c r="V88" s="11"/>
      <c r="W88" s="11"/>
      <c r="X88" s="11"/>
    </row>
    <row r="89" spans="1:24" x14ac:dyDescent="0.2">
      <c r="B89" s="11"/>
      <c r="C89" s="11"/>
      <c r="D89" s="11"/>
      <c r="E89" s="11"/>
      <c r="F89" s="11"/>
      <c r="G89" s="11"/>
      <c r="H89" s="11"/>
      <c r="I89" s="11"/>
      <c r="J89" s="11"/>
      <c r="K89" s="11"/>
      <c r="L89" s="11"/>
      <c r="M89" s="11"/>
      <c r="N89" s="11"/>
      <c r="O89" s="11"/>
      <c r="P89" s="11"/>
      <c r="Q89" s="11"/>
      <c r="R89" s="11"/>
      <c r="S89" s="11"/>
      <c r="T89" s="11"/>
      <c r="U89" s="11"/>
      <c r="V89" s="11"/>
      <c r="W89" s="11"/>
      <c r="X89" s="11"/>
    </row>
  </sheetData>
  <mergeCells count="4">
    <mergeCell ref="B2:O2"/>
    <mergeCell ref="B4:F4"/>
    <mergeCell ref="S15:T15"/>
    <mergeCell ref="H15:I15"/>
  </mergeCells>
  <pageMargins left="0.7" right="0.7" top="0.75" bottom="0.75" header="0.3" footer="0.3"/>
  <pageSetup orientation="portrait" r:id="rId1"/>
  <headerFooter>
    <oddHeader>&amp;C
&amp;G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Y386"/>
  <sheetViews>
    <sheetView showGridLines="0" rightToLeft="1" topLeftCell="B1" zoomScale="90" zoomScaleNormal="90" workbookViewId="0">
      <selection activeCell="B20" sqref="B20"/>
    </sheetView>
  </sheetViews>
  <sheetFormatPr defaultColWidth="8.88671875" defaultRowHeight="11.4" x14ac:dyDescent="0.2"/>
  <cols>
    <col min="1" max="1" width="8.88671875" style="1" hidden="1" customWidth="1"/>
    <col min="2" max="7" width="24.44140625" style="1" customWidth="1"/>
    <col min="8" max="8" width="29.109375" style="1" bestFit="1" customWidth="1"/>
    <col min="9" max="9" width="24.44140625" style="1" customWidth="1"/>
    <col min="10" max="10" width="26.5546875" style="1" bestFit="1" customWidth="1"/>
    <col min="11" max="15" width="24.44140625" style="1" customWidth="1"/>
    <col min="16" max="16" width="17.44140625" style="1" bestFit="1" customWidth="1"/>
    <col min="17" max="17" width="11" style="1" bestFit="1" customWidth="1"/>
    <col min="18" max="18" width="12" style="1" bestFit="1" customWidth="1"/>
    <col min="19" max="19" width="8.88671875" style="1"/>
    <col min="20" max="20" width="10.44140625" style="1" bestFit="1" customWidth="1"/>
    <col min="21" max="21" width="11.5546875" style="1" bestFit="1" customWidth="1"/>
    <col min="22" max="22" width="12.5546875" style="64" bestFit="1" customWidth="1"/>
    <col min="23" max="24" width="8.88671875" style="1" customWidth="1"/>
    <col min="25" max="25" width="12.5546875" style="1" bestFit="1" customWidth="1"/>
    <col min="26" max="16384" width="8.88671875" style="1"/>
  </cols>
  <sheetData>
    <row r="1" spans="2:25" x14ac:dyDescent="0.2">
      <c r="W1" s="198">
        <f>ROW(T17)</f>
        <v>17</v>
      </c>
      <c r="X1" s="198">
        <f>ROW(U17)</f>
        <v>17</v>
      </c>
    </row>
    <row r="2" spans="2:25" ht="17.100000000000001" customHeight="1" x14ac:dyDescent="0.2">
      <c r="B2" s="217" t="s">
        <v>19</v>
      </c>
      <c r="C2" s="217"/>
      <c r="D2" s="217"/>
      <c r="E2" s="217"/>
      <c r="F2" s="217"/>
      <c r="G2" s="217"/>
      <c r="H2" s="217"/>
      <c r="I2" s="217"/>
      <c r="J2" s="217"/>
      <c r="K2" s="217"/>
      <c r="L2" s="217"/>
      <c r="M2" s="217"/>
      <c r="N2" s="217"/>
      <c r="O2" s="217"/>
      <c r="P2" s="217"/>
      <c r="W2" s="198">
        <f>COLUMN(T17)</f>
        <v>20</v>
      </c>
      <c r="X2" s="198">
        <f>COLUMN(U17)</f>
        <v>21</v>
      </c>
    </row>
    <row r="3" spans="2:25" x14ac:dyDescent="0.2">
      <c r="W3" s="198"/>
      <c r="X3" s="199">
        <f>COUNTIF(T17:T385,"&gt;0")-1</f>
        <v>240</v>
      </c>
    </row>
    <row r="4" spans="2:25" x14ac:dyDescent="0.2">
      <c r="B4" s="215" t="s">
        <v>148</v>
      </c>
      <c r="C4" s="215"/>
      <c r="D4" s="215"/>
      <c r="E4" s="215"/>
      <c r="F4" s="215"/>
    </row>
    <row r="6" spans="2:25" x14ac:dyDescent="0.2">
      <c r="B6" s="163" t="s">
        <v>13</v>
      </c>
      <c r="C6" s="163">
        <f>المدخلات!E58</f>
        <v>240</v>
      </c>
      <c r="E6" s="17" t="s">
        <v>18</v>
      </c>
      <c r="F6" s="14">
        <f ca="1">XIRR(U17:INDIRECT(ADDRESS($X$1+$X$3,$X$2)),T17:INDIRECT(ADDRESS($W$1+$X$3,$W$2)))</f>
        <v>5.8993664383888242E-2</v>
      </c>
    </row>
    <row r="7" spans="2:25" x14ac:dyDescent="0.2">
      <c r="B7" s="164"/>
      <c r="C7" s="164"/>
    </row>
    <row r="8" spans="2:25" x14ac:dyDescent="0.2">
      <c r="B8" s="163" t="s">
        <v>23</v>
      </c>
      <c r="C8" s="165">
        <f>المدخلات!E54</f>
        <v>1600000</v>
      </c>
    </row>
    <row r="9" spans="2:25" x14ac:dyDescent="0.2">
      <c r="B9" s="163" t="s">
        <v>126</v>
      </c>
      <c r="C9" s="165">
        <f>-SUM(E18:E385)</f>
        <v>1176208.4005208244</v>
      </c>
    </row>
    <row r="10" spans="2:25" x14ac:dyDescent="0.2">
      <c r="B10" s="163" t="s">
        <v>24</v>
      </c>
      <c r="C10" s="165">
        <f>SUM($O$17:$O$385)</f>
        <v>55000.000000000182</v>
      </c>
      <c r="E10" s="122"/>
      <c r="T10" s="8"/>
      <c r="U10" s="8"/>
      <c r="Y10" s="102"/>
    </row>
    <row r="11" spans="2:25" x14ac:dyDescent="0.2">
      <c r="B11" s="163" t="s">
        <v>25</v>
      </c>
      <c r="C11" s="166">
        <f>EDATE(المدخلات!E61,C6)</f>
        <v>52626</v>
      </c>
      <c r="U11" s="8"/>
      <c r="Y11" s="102"/>
    </row>
    <row r="12" spans="2:25" x14ac:dyDescent="0.2">
      <c r="B12" s="164"/>
      <c r="C12" s="164"/>
      <c r="H12" s="66"/>
      <c r="U12" s="109"/>
    </row>
    <row r="13" spans="2:25" ht="15" x14ac:dyDescent="0.35">
      <c r="B13" s="163" t="s">
        <v>63</v>
      </c>
      <c r="C13" s="171">
        <f>المدخلات!E65</f>
        <v>300000</v>
      </c>
      <c r="H13" s="65"/>
      <c r="I13" s="2"/>
      <c r="Q13" s="15"/>
    </row>
    <row r="14" spans="2:25" x14ac:dyDescent="0.2">
      <c r="F14" s="12"/>
      <c r="Q14" s="7"/>
      <c r="R14" s="8"/>
      <c r="S14" s="8"/>
    </row>
    <row r="15" spans="2:25" x14ac:dyDescent="0.2">
      <c r="H15" s="218"/>
      <c r="I15" s="218"/>
      <c r="O15" s="12"/>
      <c r="T15" s="216" t="s">
        <v>28</v>
      </c>
      <c r="U15" s="216"/>
    </row>
    <row r="16" spans="2:25" x14ac:dyDescent="0.2">
      <c r="B16" s="13" t="s">
        <v>21</v>
      </c>
      <c r="C16" s="13" t="s">
        <v>22</v>
      </c>
      <c r="D16" s="13" t="s">
        <v>78</v>
      </c>
      <c r="E16" s="13" t="s">
        <v>128</v>
      </c>
      <c r="F16" s="13" t="s">
        <v>37</v>
      </c>
      <c r="G16" s="13" t="s">
        <v>120</v>
      </c>
      <c r="H16" s="13" t="s">
        <v>95</v>
      </c>
      <c r="I16" s="13" t="s">
        <v>79</v>
      </c>
      <c r="J16" s="13" t="s">
        <v>9</v>
      </c>
      <c r="K16" s="13" t="s">
        <v>10</v>
      </c>
      <c r="L16" s="13" t="s">
        <v>29</v>
      </c>
      <c r="M16" s="13" t="s">
        <v>30</v>
      </c>
      <c r="N16" s="13" t="s">
        <v>8</v>
      </c>
      <c r="O16" s="13" t="s">
        <v>81</v>
      </c>
      <c r="P16" s="13" t="s">
        <v>82</v>
      </c>
      <c r="T16" s="13" t="s">
        <v>26</v>
      </c>
      <c r="U16" s="13" t="s">
        <v>27</v>
      </c>
    </row>
    <row r="17" spans="2:23" x14ac:dyDescent="0.2">
      <c r="B17" s="16">
        <v>0</v>
      </c>
      <c r="C17" s="9">
        <f>المدخلات!E59</f>
        <v>45292</v>
      </c>
      <c r="D17" s="6">
        <v>0</v>
      </c>
      <c r="E17" s="6">
        <v>0</v>
      </c>
      <c r="F17" s="6">
        <v>0</v>
      </c>
      <c r="G17" s="6">
        <v>0</v>
      </c>
      <c r="H17" s="6">
        <v>0</v>
      </c>
      <c r="I17" s="6">
        <v>0</v>
      </c>
      <c r="J17" s="6" t="str">
        <f>IF(AND(المدخلات!$H$54="دفعة مقدمة",B17=0),المدخلات!$J$54,"")</f>
        <v/>
      </c>
      <c r="K17" s="6" t="str">
        <f>IF(AND(المدخلات!$H$55="دفعة مقدمة",B17=0),المدخلات!$J$55,"")</f>
        <v/>
      </c>
      <c r="L17" s="6" t="str">
        <f>IF(AND(المدخلات!$H$56="دفعة مقدمة",B17=0),المدخلات!$J$56,"")</f>
        <v/>
      </c>
      <c r="M17" s="6" t="str">
        <f>IF(AND(المدخلات!$H$57="دفعة مقدمة",B17=0),المدخلات!$J$57,"")</f>
        <v/>
      </c>
      <c r="N17" s="6" t="str">
        <f>IF(AND(المدخلات!$H$58="دفعة مقدمة",B17=0),المدخلات!$J$58,"")</f>
        <v/>
      </c>
      <c r="O17" s="6">
        <f t="shared" ref="O17:O80" si="0">IF(B17&lt;&gt;"",SUM(J17:N17),"")</f>
        <v>0</v>
      </c>
      <c r="P17" s="4">
        <f t="shared" ref="P17:P80" si="1">IF(B17&lt;&gt;"",(-H17+O17),"")</f>
        <v>0</v>
      </c>
      <c r="T17" s="9">
        <f>C17</f>
        <v>45292</v>
      </c>
      <c r="U17" s="5">
        <f>-(C8-P17)</f>
        <v>-1600000</v>
      </c>
      <c r="W17" s="8"/>
    </row>
    <row r="18" spans="2:23" x14ac:dyDescent="0.2">
      <c r="B18" s="16">
        <v>1</v>
      </c>
      <c r="C18" s="9">
        <f>المدخلات!E61</f>
        <v>45321</v>
      </c>
      <c r="D18" s="6">
        <f>IFERROR((PPMT(المدخلات!$E$55/12,B18,$C$6,المدخلات!$E$54,-المدخلات!$E$65,0))," ")</f>
        <v>-2984.2016688367685</v>
      </c>
      <c r="E18" s="6">
        <f>IFERROR((IPMT(المدخلات!$E$55/12,B18,$C$6,المدخلات!$E$54,-المدخلات!$E$65,0))," ")</f>
        <v>-7333.333333333333</v>
      </c>
      <c r="F18" s="6">
        <f>D18</f>
        <v>-2984.2016688367685</v>
      </c>
      <c r="G18" s="6">
        <f>E18</f>
        <v>-7333.333333333333</v>
      </c>
      <c r="H18" s="6">
        <f>+IF(B18=$C$6,(-$C$13+IFERROR(D18+E18,"")),IFERROR(D18+E18,""))</f>
        <v>-10317.535002170102</v>
      </c>
      <c r="I18" s="6">
        <f>+IFERROR($C$8+F18,"")</f>
        <v>1597015.7983311631</v>
      </c>
      <c r="J18" s="6">
        <f>IF(B18&lt;&gt;"",IF(AND(المدخلات!$H$54="سنوي",MOD(B18,12)=0),المدخلات!$J$54,IF(AND(المدخلات!$H$54="القسط (الدفعة) الاول",B18=1),المدخلات!$J$54,IF(المدخلات!$H$54="شهري",المدخلات!$J$54,""))),"")</f>
        <v>2000</v>
      </c>
      <c r="K18" s="6">
        <f>IF(B18&lt;&gt;"",IF(AND(المدخلات!$H$55="سنوي",MOD(B18,12)=0),المدخلات!$J$55,IF(AND(المدخلات!$H$55="القسط (الدفعة) الاول",B18=1),المدخلات!$J$55,IF(المدخلات!$H$55="شهري",المدخلات!$J$55,""))),"")</f>
        <v>0</v>
      </c>
      <c r="L18" s="6">
        <f>IF(B18&lt;&gt;"",IF(AND(المدخلات!$H$56="سنوي",MOD(B18,12)=0),المدخلات!$J$56,IF(AND(المدخلات!$H$56="القسط (الدفعة) الاول",B18=1),المدخلات!$J$56,IF(المدخلات!$H$56="شهري",المدخلات!$J$56,""))),"")</f>
        <v>208.33333333333334</v>
      </c>
      <c r="M18" s="6">
        <f>IF(B18&lt;&gt;"",IF(AND(المدخلات!$H$57="سنوي",MOD(B18,12)=0),المدخلات!$J$57,IF(AND(المدخلات!$H$57="القسط (الدفعة) الاول",B18=1),المدخلات!$J$57,IF(المدخلات!$H$57="شهري",المدخلات!$J$57,""))),"")</f>
        <v>3000</v>
      </c>
      <c r="N18" s="6" t="str">
        <f>IF(B18&lt;&gt;"",IF(AND(المدخلات!$H$58="سنوي",MOD(B18,12)=0),المدخلات!$J$58,IF(AND(المدخلات!$H$58="القسط (الدفعة) الاول",B18=1),المدخلات!$J$58,IF(المدخلات!$H$58="شهري",المدخلات!$J$58,IF(AND(المدخلات!$H$58="End of the loan",B18=المدخلات!$E$58),المدخلات!$J$58,"")))),"")</f>
        <v/>
      </c>
      <c r="O18" s="6">
        <f t="shared" si="0"/>
        <v>5208.3333333333339</v>
      </c>
      <c r="P18" s="4">
        <f t="shared" si="1"/>
        <v>15525.868335503435</v>
      </c>
      <c r="T18" s="9">
        <f t="shared" ref="T18:T81" si="2">C18</f>
        <v>45321</v>
      </c>
      <c r="U18" s="5">
        <f t="shared" ref="U18:U81" si="3">IFERROR(ROUND(_xlfn.IFNA(VLOOKUP(T18,$C$18:$P$385,14,0),0),2)," ")</f>
        <v>15525.87</v>
      </c>
    </row>
    <row r="19" spans="2:23" x14ac:dyDescent="0.2">
      <c r="B19" s="16">
        <f>IF(B18="","",IF((B18+1)&lt;=$C$6,B18+1,""))</f>
        <v>2</v>
      </c>
      <c r="C19" s="9">
        <f>IF(B19="","",EDATE($C$18,(B19-1)))</f>
        <v>45351</v>
      </c>
      <c r="D19" s="6">
        <f>IFERROR((PPMT(المدخلات!$E$55/12,B19,$C$6,المدخلات!$E$54,-المدخلات!$E$65,0))," ")</f>
        <v>-2997.8792598189375</v>
      </c>
      <c r="E19" s="6">
        <f>IFERROR(((IPMT(المدخلات!$E$55/12,B19,$C$6,المدخلات!$E$54,-المدخلات!$E$65,0)))," ")</f>
        <v>-7319.6557423511631</v>
      </c>
      <c r="F19" s="6">
        <f>IF(B19&lt;=$C$6,F18+D19,"")</f>
        <v>-5982.080928655706</v>
      </c>
      <c r="G19" s="6">
        <f>IF(B19&lt;=$C$6,G18+E19,"")</f>
        <v>-14652.989075684496</v>
      </c>
      <c r="H19" s="6">
        <f t="shared" ref="H19:H82" si="4">+IF(B19=$C$6,(-$C$13+IFERROR(D19+E19,"")),IFERROR(D19+E19,""))</f>
        <v>-10317.535002170102</v>
      </c>
      <c r="I19" s="6">
        <f t="shared" ref="I19:I82" si="5">+IFERROR($C$8+F19,"")</f>
        <v>1594017.9190713442</v>
      </c>
      <c r="J19" s="6" t="str">
        <f>IF(B19&lt;&gt;"",IF(AND(المدخلات!$H$54="سنوي",MOD(B19,12)=0),المدخلات!$J$54,IF(AND(المدخلات!$H$54="القسط (الدفعة) الاول",B19=1),المدخلات!$J$54,IF(المدخلات!$H$54="شهري",المدخلات!$J$54,""))),"")</f>
        <v/>
      </c>
      <c r="K19" s="6" t="str">
        <f>IF(B19&lt;&gt;"",IF(AND(المدخلات!$H$55="سنوي",MOD(B19,12)=0),المدخلات!$J$55,IF(AND(المدخلات!$H$55="القسط (الدفعة) الاول",B19=1),المدخلات!$J$55,IF(المدخلات!$H$55="شهري",المدخلات!$J$55,""))),"")</f>
        <v/>
      </c>
      <c r="L19" s="6">
        <f>IF(B19&lt;&gt;"",IF(AND(المدخلات!$H$56="سنوي",MOD(B19,12)=0),المدخلات!$J$56,IF(AND(المدخلات!$H$56="القسط (الدفعة) الاول",B19=1),المدخلات!$J$56,IF(المدخلات!$H$56="شهري",المدخلات!$J$56,""))),"")</f>
        <v>208.33333333333334</v>
      </c>
      <c r="M19" s="6" t="str">
        <f>IF(B19&lt;&gt;"",IF(AND(المدخلات!$H$57="سنوي",MOD(B19,12)=0),المدخلات!$J$57,IF(AND(المدخلات!$H$57="القسط (الدفعة) الاول",B19=1),المدخلات!$J$57,IF(المدخلات!$H$57="شهري",المدخلات!$J$57,""))),"")</f>
        <v/>
      </c>
      <c r="N19" s="6" t="str">
        <f>IF(B19&lt;&gt;"",IF(AND(المدخلات!$H$58="سنوي",MOD(B19,12)=0),المدخلات!$J$58,IF(AND(المدخلات!$H$58="القسط (الدفعة) الاول",B19=1),المدخلات!$J$58,IF(المدخلات!$H$58="شهري",المدخلات!$J$58,IF(AND(المدخلات!$H$58="End of the loan",B19=المدخلات!$E$58),المدخلات!$J$58,"")))),"")</f>
        <v/>
      </c>
      <c r="O19" s="6">
        <f t="shared" si="0"/>
        <v>208.33333333333334</v>
      </c>
      <c r="P19" s="4">
        <f t="shared" si="1"/>
        <v>10525.868335503435</v>
      </c>
      <c r="T19" s="9">
        <f t="shared" si="2"/>
        <v>45351</v>
      </c>
      <c r="U19" s="5">
        <f t="shared" si="3"/>
        <v>10525.87</v>
      </c>
    </row>
    <row r="20" spans="2:23" x14ac:dyDescent="0.2">
      <c r="B20" s="16">
        <f t="shared" ref="B20:B83" si="6">IF(B19="","",IF((B19+1)&lt;=$C$6,B19+1,""))</f>
        <v>3</v>
      </c>
      <c r="C20" s="9">
        <f t="shared" ref="C20:C83" si="7">IF(B20="","",EDATE($C$18,(B20-1)))</f>
        <v>45381</v>
      </c>
      <c r="D20" s="6">
        <f>IFERROR((PPMT(المدخلات!$E$55/12,B20,$C$6,المدخلات!$E$54,-المدخلات!$E$65,0))," ")</f>
        <v>-3011.6195397597744</v>
      </c>
      <c r="E20" s="6">
        <f>IFERROR(((IPMT(المدخلات!$E$55/12,B20,$C$6,المدخلات!$E$54,-المدخلات!$E$65,0)))," ")</f>
        <v>-7305.9154624103276</v>
      </c>
      <c r="F20" s="6">
        <f>IF(B20&lt;=$C$6,F19+D20,"")</f>
        <v>-8993.7004684154799</v>
      </c>
      <c r="G20" s="6">
        <f t="shared" ref="G20:G83" si="8">IF(B20&lt;=$C$6,G19+E20,"")</f>
        <v>-21958.904538094823</v>
      </c>
      <c r="H20" s="6">
        <f t="shared" si="4"/>
        <v>-10317.535002170102</v>
      </c>
      <c r="I20" s="6">
        <f t="shared" si="5"/>
        <v>1591006.2995315846</v>
      </c>
      <c r="J20" s="6" t="str">
        <f>IF(B20&lt;&gt;"",IF(AND(المدخلات!$H$54="سنوي",MOD(B20,12)=0),المدخلات!$J$54,IF(AND(المدخلات!$H$54="القسط (الدفعة) الاول",B20=1),المدخلات!$J$54,IF(المدخلات!$H$54="شهري",المدخلات!$J$54,""))),"")</f>
        <v/>
      </c>
      <c r="K20" s="6" t="str">
        <f>IF(B20&lt;&gt;"",IF(AND(المدخلات!$H$55="سنوي",MOD(B20,12)=0),المدخلات!$J$55,IF(AND(المدخلات!$H$55="القسط (الدفعة) الاول",B20=1),المدخلات!$J$55,IF(المدخلات!$H$55="شهري",المدخلات!$J$55,""))),"")</f>
        <v/>
      </c>
      <c r="L20" s="6">
        <f>IF(B20&lt;&gt;"",IF(AND(المدخلات!$H$56="سنوي",MOD(B20,12)=0),المدخلات!$J$56,IF(AND(المدخلات!$H$56="القسط (الدفعة) الاول",B20=1),المدخلات!$J$56,IF(المدخلات!$H$56="شهري",المدخلات!$J$56,""))),"")</f>
        <v>208.33333333333334</v>
      </c>
      <c r="M20" s="6" t="str">
        <f>IF(B20&lt;&gt;"",IF(AND(المدخلات!$H$57="سنوي",MOD(B20,12)=0),المدخلات!$J$57,IF(AND(المدخلات!$H$57="القسط (الدفعة) الاول",B20=1),المدخلات!$J$57,IF(المدخلات!$H$57="شهري",المدخلات!$J$57,""))),"")</f>
        <v/>
      </c>
      <c r="N20" s="6" t="str">
        <f>IF(B20&lt;&gt;"",IF(AND(المدخلات!$H$58="سنوي",MOD(B20,12)=0),المدخلات!$J$58,IF(AND(المدخلات!$H$58="القسط (الدفعة) الاول",B20=1),المدخلات!$J$58,IF(المدخلات!$H$58="شهري",المدخلات!$J$58,IF(AND(المدخلات!$H$58="End of the loan",B20=المدخلات!$E$58),المدخلات!$J$58,"")))),"")</f>
        <v/>
      </c>
      <c r="O20" s="6">
        <f t="shared" si="0"/>
        <v>208.33333333333334</v>
      </c>
      <c r="P20" s="4">
        <f t="shared" si="1"/>
        <v>10525.868335503435</v>
      </c>
      <c r="T20" s="9">
        <f t="shared" si="2"/>
        <v>45381</v>
      </c>
      <c r="U20" s="5">
        <f t="shared" si="3"/>
        <v>10525.87</v>
      </c>
    </row>
    <row r="21" spans="2:23" x14ac:dyDescent="0.2">
      <c r="B21" s="16">
        <f t="shared" si="6"/>
        <v>4</v>
      </c>
      <c r="C21" s="9">
        <f t="shared" si="7"/>
        <v>45412</v>
      </c>
      <c r="D21" s="6">
        <f>IFERROR((PPMT(المدخلات!$E$55/12,B21,$C$6,المدخلات!$E$54,-المدخلات!$E$65,0))," ")</f>
        <v>-3025.4227959836735</v>
      </c>
      <c r="E21" s="6">
        <f>IFERROR(((IPMT(المدخلات!$E$55/12,B21,$C$6,المدخلات!$E$54,-المدخلات!$E$65,0)))," ")</f>
        <v>-7292.1122061864271</v>
      </c>
      <c r="F21" s="6">
        <f t="shared" ref="F21:F84" si="9">IF(B21&lt;=$C$6,F20+D21,"")</f>
        <v>-12019.123264399153</v>
      </c>
      <c r="G21" s="6">
        <f t="shared" si="8"/>
        <v>-29251.016744281249</v>
      </c>
      <c r="H21" s="6">
        <f t="shared" si="4"/>
        <v>-10317.535002170102</v>
      </c>
      <c r="I21" s="6">
        <f t="shared" si="5"/>
        <v>1587980.8767356009</v>
      </c>
      <c r="J21" s="6" t="str">
        <f>IF(B21&lt;&gt;"",IF(AND(المدخلات!$H$54="سنوي",MOD(B21,12)=0),المدخلات!$J$54,IF(AND(المدخلات!$H$54="القسط (الدفعة) الاول",B21=1),المدخلات!$J$54,IF(المدخلات!$H$54="شهري",المدخلات!$J$54,""))),"")</f>
        <v/>
      </c>
      <c r="K21" s="6" t="str">
        <f>IF(B21&lt;&gt;"",IF(AND(المدخلات!$H$55="سنوي",MOD(B21,12)=0),المدخلات!$J$55,IF(AND(المدخلات!$H$55="القسط (الدفعة) الاول",B21=1),المدخلات!$J$55,IF(المدخلات!$H$55="شهري",المدخلات!$J$55,""))),"")</f>
        <v/>
      </c>
      <c r="L21" s="6">
        <f>IF(B21&lt;&gt;"",IF(AND(المدخلات!$H$56="سنوي",MOD(B21,12)=0),المدخلات!$J$56,IF(AND(المدخلات!$H$56="القسط (الدفعة) الاول",B21=1),المدخلات!$J$56,IF(المدخلات!$H$56="شهري",المدخلات!$J$56,""))),"")</f>
        <v>208.33333333333334</v>
      </c>
      <c r="M21" s="6" t="str">
        <f>IF(B21&lt;&gt;"",IF(AND(المدخلات!$H$57="سنوي",MOD(B21,12)=0),المدخلات!$J$57,IF(AND(المدخلات!$H$57="القسط (الدفعة) الاول",B21=1),المدخلات!$J$57,IF(المدخلات!$H$57="شهري",المدخلات!$J$57,""))),"")</f>
        <v/>
      </c>
      <c r="N21" s="6" t="str">
        <f>IF(B21&lt;&gt;"",IF(AND(المدخلات!$H$58="سنوي",MOD(B21,12)=0),المدخلات!$J$58,IF(AND(المدخلات!$H$58="القسط (الدفعة) الاول",B21=1),المدخلات!$J$58,IF(المدخلات!$H$58="شهري",المدخلات!$J$58,IF(AND(المدخلات!$H$58="End of the loan",B21=المدخلات!$E$58),المدخلات!$J$58,"")))),"")</f>
        <v/>
      </c>
      <c r="O21" s="6">
        <f t="shared" si="0"/>
        <v>208.33333333333334</v>
      </c>
      <c r="P21" s="4">
        <f t="shared" si="1"/>
        <v>10525.868335503435</v>
      </c>
      <c r="T21" s="9">
        <f t="shared" si="2"/>
        <v>45412</v>
      </c>
      <c r="U21" s="5">
        <f t="shared" si="3"/>
        <v>10525.87</v>
      </c>
    </row>
    <row r="22" spans="2:23" x14ac:dyDescent="0.2">
      <c r="B22" s="16">
        <f t="shared" si="6"/>
        <v>5</v>
      </c>
      <c r="C22" s="9">
        <f t="shared" si="7"/>
        <v>45442</v>
      </c>
      <c r="D22" s="6">
        <f>IFERROR((PPMT(المدخلات!$E$55/12,B22,$C$6,المدخلات!$E$54,-المدخلات!$E$65,0))," ")</f>
        <v>-3039.289317131932</v>
      </c>
      <c r="E22" s="6">
        <f>IFERROR(((IPMT(المدخلات!$E$55/12,B22,$C$6,المدخلات!$E$54,-المدخلات!$E$65,0)))," ")</f>
        <v>-7278.2456850381695</v>
      </c>
      <c r="F22" s="6">
        <f t="shared" si="9"/>
        <v>-15058.412581531085</v>
      </c>
      <c r="G22" s="6">
        <f t="shared" si="8"/>
        <v>-36529.262429319417</v>
      </c>
      <c r="H22" s="6">
        <f t="shared" si="4"/>
        <v>-10317.535002170102</v>
      </c>
      <c r="I22" s="6">
        <f t="shared" si="5"/>
        <v>1584941.5874184689</v>
      </c>
      <c r="J22" s="6" t="str">
        <f>IF(B22&lt;&gt;"",IF(AND(المدخلات!$H$54="سنوي",MOD(B22,12)=0),المدخلات!$J$54,IF(AND(المدخلات!$H$54="القسط (الدفعة) الاول",B22=1),المدخلات!$J$54,IF(المدخلات!$H$54="شهري",المدخلات!$J$54,""))),"")</f>
        <v/>
      </c>
      <c r="K22" s="6" t="str">
        <f>IF(B22&lt;&gt;"",IF(AND(المدخلات!$H$55="سنوي",MOD(B22,12)=0),المدخلات!$J$55,IF(AND(المدخلات!$H$55="القسط (الدفعة) الاول",B22=1),المدخلات!$J$55,IF(المدخلات!$H$55="شهري",المدخلات!$J$55,""))),"")</f>
        <v/>
      </c>
      <c r="L22" s="6">
        <f>IF(B22&lt;&gt;"",IF(AND(المدخلات!$H$56="سنوي",MOD(B22,12)=0),المدخلات!$J$56,IF(AND(المدخلات!$H$56="القسط (الدفعة) الاول",B22=1),المدخلات!$J$56,IF(المدخلات!$H$56="شهري",المدخلات!$J$56,""))),"")</f>
        <v>208.33333333333334</v>
      </c>
      <c r="M22" s="6" t="str">
        <f>IF(B22&lt;&gt;"",IF(AND(المدخلات!$H$57="سنوي",MOD(B22,12)=0),المدخلات!$J$57,IF(AND(المدخلات!$H$57="القسط (الدفعة) الاول",B22=1),المدخلات!$J$57,IF(المدخلات!$H$57="شهري",المدخلات!$J$57,""))),"")</f>
        <v/>
      </c>
      <c r="N22" s="6" t="str">
        <f>IF(B22&lt;&gt;"",IF(AND(المدخلات!$H$58="سنوي",MOD(B22,12)=0),المدخلات!$J$58,IF(AND(المدخلات!$H$58="القسط (الدفعة) الاول",B22=1),المدخلات!$J$58,IF(المدخلات!$H$58="شهري",المدخلات!$J$58,IF(AND(المدخلات!$H$58="End of the loan",B22=المدخلات!$E$58),المدخلات!$J$58,"")))),"")</f>
        <v/>
      </c>
      <c r="O22" s="6">
        <f t="shared" si="0"/>
        <v>208.33333333333334</v>
      </c>
      <c r="P22" s="4">
        <f t="shared" si="1"/>
        <v>10525.868335503435</v>
      </c>
      <c r="T22" s="9">
        <f t="shared" si="2"/>
        <v>45442</v>
      </c>
      <c r="U22" s="5">
        <f t="shared" si="3"/>
        <v>10525.87</v>
      </c>
    </row>
    <row r="23" spans="2:23" x14ac:dyDescent="0.2">
      <c r="B23" s="16">
        <f t="shared" si="6"/>
        <v>6</v>
      </c>
      <c r="C23" s="9">
        <f t="shared" si="7"/>
        <v>45473</v>
      </c>
      <c r="D23" s="6">
        <f>IFERROR((PPMT(المدخلات!$E$55/12,B23,$C$6,المدخلات!$E$54,-المدخلات!$E$65,0))," ")</f>
        <v>-3053.2193931687866</v>
      </c>
      <c r="E23" s="6">
        <f>IFERROR(((IPMT(المدخلات!$E$55/12,B23,$C$6,المدخلات!$E$54,-المدخلات!$E$65,0)))," ")</f>
        <v>-7264.3156090013163</v>
      </c>
      <c r="F23" s="6">
        <f t="shared" si="9"/>
        <v>-18111.631974699871</v>
      </c>
      <c r="G23" s="6">
        <f t="shared" si="8"/>
        <v>-43793.578038320731</v>
      </c>
      <c r="H23" s="6">
        <f t="shared" si="4"/>
        <v>-10317.535002170103</v>
      </c>
      <c r="I23" s="6">
        <f t="shared" si="5"/>
        <v>1581888.3680253001</v>
      </c>
      <c r="J23" s="6" t="str">
        <f>IF(B23&lt;&gt;"",IF(AND(المدخلات!$H$54="سنوي",MOD(B23,12)=0),المدخلات!$J$54,IF(AND(المدخلات!$H$54="القسط (الدفعة) الاول",B23=1),المدخلات!$J$54,IF(المدخلات!$H$54="شهري",المدخلات!$J$54,""))),"")</f>
        <v/>
      </c>
      <c r="K23" s="6" t="str">
        <f>IF(B23&lt;&gt;"",IF(AND(المدخلات!$H$55="سنوي",MOD(B23,12)=0),المدخلات!$J$55,IF(AND(المدخلات!$H$55="القسط (الدفعة) الاول",B23=1),المدخلات!$J$55,IF(المدخلات!$H$55="شهري",المدخلات!$J$55,""))),"")</f>
        <v/>
      </c>
      <c r="L23" s="6">
        <f>IF(B23&lt;&gt;"",IF(AND(المدخلات!$H$56="سنوي",MOD(B23,12)=0),المدخلات!$J$56,IF(AND(المدخلات!$H$56="القسط (الدفعة) الاول",B23=1),المدخلات!$J$56,IF(المدخلات!$H$56="شهري",المدخلات!$J$56,""))),"")</f>
        <v>208.33333333333334</v>
      </c>
      <c r="M23" s="6" t="str">
        <f>IF(B23&lt;&gt;"",IF(AND(المدخلات!$H$57="سنوي",MOD(B23,12)=0),المدخلات!$J$57,IF(AND(المدخلات!$H$57="القسط (الدفعة) الاول",B23=1),المدخلات!$J$57,IF(المدخلات!$H$57="شهري",المدخلات!$J$57,""))),"")</f>
        <v/>
      </c>
      <c r="N23" s="6" t="str">
        <f>IF(B23&lt;&gt;"",IF(AND(المدخلات!$H$58="سنوي",MOD(B23,12)=0),المدخلات!$J$58,IF(AND(المدخلات!$H$58="القسط (الدفعة) الاول",B23=1),المدخلات!$J$58,IF(المدخلات!$H$58="شهري",المدخلات!$J$58,IF(AND(المدخلات!$H$58="End of the loan",B23=المدخلات!$E$58),المدخلات!$J$58,"")))),"")</f>
        <v/>
      </c>
      <c r="O23" s="6">
        <f t="shared" si="0"/>
        <v>208.33333333333334</v>
      </c>
      <c r="P23" s="4">
        <f t="shared" si="1"/>
        <v>10525.868335503437</v>
      </c>
      <c r="T23" s="9">
        <f t="shared" si="2"/>
        <v>45473</v>
      </c>
      <c r="U23" s="5">
        <f t="shared" si="3"/>
        <v>10525.87</v>
      </c>
    </row>
    <row r="24" spans="2:23" x14ac:dyDescent="0.2">
      <c r="B24" s="16">
        <f t="shared" si="6"/>
        <v>7</v>
      </c>
      <c r="C24" s="9">
        <f t="shared" si="7"/>
        <v>45503</v>
      </c>
      <c r="D24" s="6">
        <f>IFERROR((PPMT(المدخلات!$E$55/12,B24,$C$6,المدخلات!$E$54,-المدخلات!$E$65,0))," ")</f>
        <v>-3067.213315387477</v>
      </c>
      <c r="E24" s="6">
        <f>IFERROR(((IPMT(المدخلات!$E$55/12,B24,$C$6,المدخلات!$E$54,-المدخلات!$E$65,0)))," ")</f>
        <v>-7250.3216867826241</v>
      </c>
      <c r="F24" s="6">
        <f t="shared" si="9"/>
        <v>-21178.845290087349</v>
      </c>
      <c r="G24" s="6">
        <f t="shared" si="8"/>
        <v>-51043.899725103358</v>
      </c>
      <c r="H24" s="6">
        <f t="shared" si="4"/>
        <v>-10317.535002170102</v>
      </c>
      <c r="I24" s="6">
        <f t="shared" si="5"/>
        <v>1578821.1547099126</v>
      </c>
      <c r="J24" s="6" t="str">
        <f>IF(B24&lt;&gt;"",IF(AND(المدخلات!$H$54="سنوي",MOD(B24,12)=0),المدخلات!$J$54,IF(AND(المدخلات!$H$54="القسط (الدفعة) الاول",B24=1),المدخلات!$J$54,IF(المدخلات!$H$54="شهري",المدخلات!$J$54,""))),"")</f>
        <v/>
      </c>
      <c r="K24" s="6" t="str">
        <f>IF(B24&lt;&gt;"",IF(AND(المدخلات!$H$55="سنوي",MOD(B24,12)=0),المدخلات!$J$55,IF(AND(المدخلات!$H$55="القسط (الدفعة) الاول",B24=1),المدخلات!$J$55,IF(المدخلات!$H$55="شهري",المدخلات!$J$55,""))),"")</f>
        <v/>
      </c>
      <c r="L24" s="6">
        <f>IF(B24&lt;&gt;"",IF(AND(المدخلات!$H$56="سنوي",MOD(B24,12)=0),المدخلات!$J$56,IF(AND(المدخلات!$H$56="القسط (الدفعة) الاول",B24=1),المدخلات!$J$56,IF(المدخلات!$H$56="شهري",المدخلات!$J$56,""))),"")</f>
        <v>208.33333333333334</v>
      </c>
      <c r="M24" s="6" t="str">
        <f>IF(B24&lt;&gt;"",IF(AND(المدخلات!$H$57="سنوي",MOD(B24,12)=0),المدخلات!$J$57,IF(AND(المدخلات!$H$57="القسط (الدفعة) الاول",B24=1),المدخلات!$J$57,IF(المدخلات!$H$57="شهري",المدخلات!$J$57,""))),"")</f>
        <v/>
      </c>
      <c r="N24" s="6" t="str">
        <f>IF(B24&lt;&gt;"",IF(AND(المدخلات!$H$58="سنوي",MOD(B24,12)=0),المدخلات!$J$58,IF(AND(المدخلات!$H$58="القسط (الدفعة) الاول",B24=1),المدخلات!$J$58,IF(المدخلات!$H$58="شهري",المدخلات!$J$58,IF(AND(المدخلات!$H$58="End of the loan",B24=المدخلات!$E$58),المدخلات!$J$58,"")))),"")</f>
        <v/>
      </c>
      <c r="O24" s="6">
        <f t="shared" si="0"/>
        <v>208.33333333333334</v>
      </c>
      <c r="P24" s="4">
        <f t="shared" si="1"/>
        <v>10525.868335503435</v>
      </c>
      <c r="T24" s="9">
        <f t="shared" si="2"/>
        <v>45503</v>
      </c>
      <c r="U24" s="5">
        <f t="shared" si="3"/>
        <v>10525.87</v>
      </c>
    </row>
    <row r="25" spans="2:23" x14ac:dyDescent="0.2">
      <c r="B25" s="16">
        <f t="shared" si="6"/>
        <v>8</v>
      </c>
      <c r="C25" s="9">
        <f t="shared" si="7"/>
        <v>45534</v>
      </c>
      <c r="D25" s="6">
        <f>IFERROR((PPMT(المدخلات!$E$55/12,B25,$C$6,المدخلات!$E$54,-المدخلات!$E$65,0))," ")</f>
        <v>-3081.2713764163359</v>
      </c>
      <c r="E25" s="6">
        <f>IFERROR(((IPMT(المدخلات!$E$55/12,B25,$C$6,المدخلات!$E$54,-المدخلات!$E$65,0)))," ")</f>
        <v>-7236.2636257537652</v>
      </c>
      <c r="F25" s="6">
        <f t="shared" si="9"/>
        <v>-24260.116666503684</v>
      </c>
      <c r="G25" s="6">
        <f t="shared" si="8"/>
        <v>-58280.163350857125</v>
      </c>
      <c r="H25" s="6">
        <f t="shared" si="4"/>
        <v>-10317.535002170102</v>
      </c>
      <c r="I25" s="6">
        <f t="shared" si="5"/>
        <v>1575739.8833334963</v>
      </c>
      <c r="J25" s="6" t="str">
        <f>IF(B25&lt;&gt;"",IF(AND(المدخلات!$H$54="سنوي",MOD(B25,12)=0),المدخلات!$J$54,IF(AND(المدخلات!$H$54="القسط (الدفعة) الاول",B25=1),المدخلات!$J$54,IF(المدخلات!$H$54="شهري",المدخلات!$J$54,""))),"")</f>
        <v/>
      </c>
      <c r="K25" s="6" t="str">
        <f>IF(B25&lt;&gt;"",IF(AND(المدخلات!$H$55="سنوي",MOD(B25,12)=0),المدخلات!$J$55,IF(AND(المدخلات!$H$55="القسط (الدفعة) الاول",B25=1),المدخلات!$J$55,IF(المدخلات!$H$55="شهري",المدخلات!$J$55,""))),"")</f>
        <v/>
      </c>
      <c r="L25" s="6">
        <f>IF(B25&lt;&gt;"",IF(AND(المدخلات!$H$56="سنوي",MOD(B25,12)=0),المدخلات!$J$56,IF(AND(المدخلات!$H$56="القسط (الدفعة) الاول",B25=1),المدخلات!$J$56,IF(المدخلات!$H$56="شهري",المدخلات!$J$56,""))),"")</f>
        <v>208.33333333333334</v>
      </c>
      <c r="M25" s="6" t="str">
        <f>IF(B25&lt;&gt;"",IF(AND(المدخلات!$H$57="سنوي",MOD(B25,12)=0),المدخلات!$J$57,IF(AND(المدخلات!$H$57="القسط (الدفعة) الاول",B25=1),المدخلات!$J$57,IF(المدخلات!$H$57="شهري",المدخلات!$J$57,""))),"")</f>
        <v/>
      </c>
      <c r="N25" s="6" t="str">
        <f>IF(B25&lt;&gt;"",IF(AND(المدخلات!$H$58="سنوي",MOD(B25,12)=0),المدخلات!$J$58,IF(AND(المدخلات!$H$58="القسط (الدفعة) الاول",B25=1),المدخلات!$J$58,IF(المدخلات!$H$58="شهري",المدخلات!$J$58,IF(AND(المدخلات!$H$58="End of the loan",B25=المدخلات!$E$58),المدخلات!$J$58,"")))),"")</f>
        <v/>
      </c>
      <c r="O25" s="6">
        <f t="shared" si="0"/>
        <v>208.33333333333334</v>
      </c>
      <c r="P25" s="4">
        <f t="shared" si="1"/>
        <v>10525.868335503435</v>
      </c>
      <c r="T25" s="9">
        <f t="shared" si="2"/>
        <v>45534</v>
      </c>
      <c r="U25" s="5">
        <f t="shared" si="3"/>
        <v>10525.87</v>
      </c>
    </row>
    <row r="26" spans="2:23" x14ac:dyDescent="0.2">
      <c r="B26" s="16">
        <f t="shared" si="6"/>
        <v>9</v>
      </c>
      <c r="C26" s="9">
        <f t="shared" si="7"/>
        <v>45565</v>
      </c>
      <c r="D26" s="6">
        <f>IFERROR((PPMT(المدخلات!$E$55/12,B26,$C$6,المدخلات!$E$54,-المدخلات!$E$65,0))," ")</f>
        <v>-3095.3938702249111</v>
      </c>
      <c r="E26" s="6">
        <f>IFERROR(((IPMT(المدخلات!$E$55/12,B26,$C$6,المدخلات!$E$54,-المدخلات!$E$65,0)))," ")</f>
        <v>-7222.14113194519</v>
      </c>
      <c r="F26" s="6">
        <f t="shared" si="9"/>
        <v>-27355.510536728594</v>
      </c>
      <c r="G26" s="6">
        <f t="shared" si="8"/>
        <v>-65502.304482802312</v>
      </c>
      <c r="H26" s="6">
        <f t="shared" si="4"/>
        <v>-10317.535002170102</v>
      </c>
      <c r="I26" s="6">
        <f t="shared" si="5"/>
        <v>1572644.4894632713</v>
      </c>
      <c r="J26" s="6" t="str">
        <f>IF(B26&lt;&gt;"",IF(AND(المدخلات!$H$54="سنوي",MOD(B26,12)=0),المدخلات!$J$54,IF(AND(المدخلات!$H$54="القسط (الدفعة) الاول",B26=1),المدخلات!$J$54,IF(المدخلات!$H$54="شهري",المدخلات!$J$54,""))),"")</f>
        <v/>
      </c>
      <c r="K26" s="6" t="str">
        <f>IF(B26&lt;&gt;"",IF(AND(المدخلات!$H$55="سنوي",MOD(B26,12)=0),المدخلات!$J$55,IF(AND(المدخلات!$H$55="القسط (الدفعة) الاول",B26=1),المدخلات!$J$55,IF(المدخلات!$H$55="شهري",المدخلات!$J$55,""))),"")</f>
        <v/>
      </c>
      <c r="L26" s="6">
        <f>IF(B26&lt;&gt;"",IF(AND(المدخلات!$H$56="سنوي",MOD(B26,12)=0),المدخلات!$J$56,IF(AND(المدخلات!$H$56="القسط (الدفعة) الاول",B26=1),المدخلات!$J$56,IF(المدخلات!$H$56="شهري",المدخلات!$J$56,""))),"")</f>
        <v>208.33333333333334</v>
      </c>
      <c r="M26" s="6" t="str">
        <f>IF(B26&lt;&gt;"",IF(AND(المدخلات!$H$57="سنوي",MOD(B26,12)=0),المدخلات!$J$57,IF(AND(المدخلات!$H$57="القسط (الدفعة) الاول",B26=1),المدخلات!$J$57,IF(المدخلات!$H$57="شهري",المدخلات!$J$57,""))),"")</f>
        <v/>
      </c>
      <c r="N26" s="6" t="str">
        <f>IF(B26&lt;&gt;"",IF(AND(المدخلات!$H$58="سنوي",MOD(B26,12)=0),المدخلات!$J$58,IF(AND(المدخلات!$H$58="القسط (الدفعة) الاول",B26=1),المدخلات!$J$58,IF(المدخلات!$H$58="شهري",المدخلات!$J$58,IF(AND(المدخلات!$H$58="End of the loan",B26=المدخلات!$E$58),المدخلات!$J$58,"")))),"")</f>
        <v/>
      </c>
      <c r="O26" s="6">
        <f t="shared" si="0"/>
        <v>208.33333333333334</v>
      </c>
      <c r="P26" s="4">
        <f t="shared" si="1"/>
        <v>10525.868335503435</v>
      </c>
      <c r="T26" s="9">
        <f t="shared" si="2"/>
        <v>45565</v>
      </c>
      <c r="U26" s="5">
        <f t="shared" si="3"/>
        <v>10525.87</v>
      </c>
    </row>
    <row r="27" spans="2:23" x14ac:dyDescent="0.2">
      <c r="B27" s="16">
        <f t="shared" si="6"/>
        <v>10</v>
      </c>
      <c r="C27" s="9">
        <f t="shared" si="7"/>
        <v>45595</v>
      </c>
      <c r="D27" s="6">
        <f>IFERROR((PPMT(المدخلات!$E$55/12,B27,$C$6,المدخلات!$E$54,-المدخلات!$E$65,0))," ")</f>
        <v>-3109.5810921301081</v>
      </c>
      <c r="E27" s="6">
        <f>IFERROR(((IPMT(المدخلات!$E$55/12,B27,$C$6,المدخلات!$E$54,-المدخلات!$E$65,0)))," ")</f>
        <v>-7207.9539100399925</v>
      </c>
      <c r="F27" s="6">
        <f t="shared" si="9"/>
        <v>-30465.091628858703</v>
      </c>
      <c r="G27" s="6">
        <f t="shared" si="8"/>
        <v>-72710.258392842312</v>
      </c>
      <c r="H27" s="6">
        <f t="shared" si="4"/>
        <v>-10317.535002170102</v>
      </c>
      <c r="I27" s="6">
        <f t="shared" si="5"/>
        <v>1569534.9083711412</v>
      </c>
      <c r="J27" s="6" t="str">
        <f>IF(B27&lt;&gt;"",IF(AND(المدخلات!$H$54="سنوي",MOD(B27,12)=0),المدخلات!$J$54,IF(AND(المدخلات!$H$54="القسط (الدفعة) الاول",B27=1),المدخلات!$J$54,IF(المدخلات!$H$54="شهري",المدخلات!$J$54,""))),"")</f>
        <v/>
      </c>
      <c r="K27" s="6" t="str">
        <f>IF(B27&lt;&gt;"",IF(AND(المدخلات!$H$55="سنوي",MOD(B27,12)=0),المدخلات!$J$55,IF(AND(المدخلات!$H$55="القسط (الدفعة) الاول",B27=1),المدخلات!$J$55,IF(المدخلات!$H$55="شهري",المدخلات!$J$55,""))),"")</f>
        <v/>
      </c>
      <c r="L27" s="6">
        <f>IF(B27&lt;&gt;"",IF(AND(المدخلات!$H$56="سنوي",MOD(B27,12)=0),المدخلات!$J$56,IF(AND(المدخلات!$H$56="القسط (الدفعة) الاول",B27=1),المدخلات!$J$56,IF(المدخلات!$H$56="شهري",المدخلات!$J$56,""))),"")</f>
        <v>208.33333333333334</v>
      </c>
      <c r="M27" s="6" t="str">
        <f>IF(B27&lt;&gt;"",IF(AND(المدخلات!$H$57="سنوي",MOD(B27,12)=0),المدخلات!$J$57,IF(AND(المدخلات!$H$57="القسط (الدفعة) الاول",B27=1),المدخلات!$J$57,IF(المدخلات!$H$57="شهري",المدخلات!$J$57,""))),"")</f>
        <v/>
      </c>
      <c r="N27" s="6" t="str">
        <f>IF(B27&lt;&gt;"",IF(AND(المدخلات!$H$58="سنوي",MOD(B27,12)=0),المدخلات!$J$58,IF(AND(المدخلات!$H$58="القسط (الدفعة) الاول",B27=1),المدخلات!$J$58,IF(المدخلات!$H$58="شهري",المدخلات!$J$58,IF(AND(المدخلات!$H$58="End of the loan",B27=المدخلات!$E$58),المدخلات!$J$58,"")))),"")</f>
        <v/>
      </c>
      <c r="O27" s="6">
        <f t="shared" si="0"/>
        <v>208.33333333333334</v>
      </c>
      <c r="P27" s="4">
        <f t="shared" si="1"/>
        <v>10525.868335503435</v>
      </c>
      <c r="T27" s="9">
        <f t="shared" si="2"/>
        <v>45595</v>
      </c>
      <c r="U27" s="5">
        <f t="shared" si="3"/>
        <v>10525.87</v>
      </c>
    </row>
    <row r="28" spans="2:23" x14ac:dyDescent="0.2">
      <c r="B28" s="16">
        <f t="shared" si="6"/>
        <v>11</v>
      </c>
      <c r="C28" s="9">
        <f t="shared" si="7"/>
        <v>45626</v>
      </c>
      <c r="D28" s="6">
        <f>IFERROR((PPMT(المدخلات!$E$55/12,B28,$C$6,المدخلات!$E$54,-المدخلات!$E$65,0))," ")</f>
        <v>-3123.8333388023716</v>
      </c>
      <c r="E28" s="6">
        <f>IFERROR(((IPMT(المدخلات!$E$55/12,B28,$C$6,المدخلات!$E$54,-المدخلات!$E$65,0)))," ")</f>
        <v>-7193.7016633677295</v>
      </c>
      <c r="F28" s="6">
        <f t="shared" si="9"/>
        <v>-33588.924967661078</v>
      </c>
      <c r="G28" s="6">
        <f t="shared" si="8"/>
        <v>-79903.960056210039</v>
      </c>
      <c r="H28" s="6">
        <f t="shared" si="4"/>
        <v>-10317.535002170102</v>
      </c>
      <c r="I28" s="6">
        <f t="shared" si="5"/>
        <v>1566411.075032339</v>
      </c>
      <c r="J28" s="6" t="str">
        <f>IF(B28&lt;&gt;"",IF(AND(المدخلات!$H$54="سنوي",MOD(B28,12)=0),المدخلات!$J$54,IF(AND(المدخلات!$H$54="القسط (الدفعة) الاول",B28=1),المدخلات!$J$54,IF(المدخلات!$H$54="شهري",المدخلات!$J$54,""))),"")</f>
        <v/>
      </c>
      <c r="K28" s="6" t="str">
        <f>IF(B28&lt;&gt;"",IF(AND(المدخلات!$H$55="سنوي",MOD(B28,12)=0),المدخلات!$J$55,IF(AND(المدخلات!$H$55="القسط (الدفعة) الاول",B28=1),المدخلات!$J$55,IF(المدخلات!$H$55="شهري",المدخلات!$J$55,""))),"")</f>
        <v/>
      </c>
      <c r="L28" s="6">
        <f>IF(B28&lt;&gt;"",IF(AND(المدخلات!$H$56="سنوي",MOD(B28,12)=0),المدخلات!$J$56,IF(AND(المدخلات!$H$56="القسط (الدفعة) الاول",B28=1),المدخلات!$J$56,IF(المدخلات!$H$56="شهري",المدخلات!$J$56,""))),"")</f>
        <v>208.33333333333334</v>
      </c>
      <c r="M28" s="6" t="str">
        <f>IF(B28&lt;&gt;"",IF(AND(المدخلات!$H$57="سنوي",MOD(B28,12)=0),المدخلات!$J$57,IF(AND(المدخلات!$H$57="القسط (الدفعة) الاول",B28=1),المدخلات!$J$57,IF(المدخلات!$H$57="شهري",المدخلات!$J$57,""))),"")</f>
        <v/>
      </c>
      <c r="N28" s="6" t="str">
        <f>IF(B28&lt;&gt;"",IF(AND(المدخلات!$H$58="سنوي",MOD(B28,12)=0),المدخلات!$J$58,IF(AND(المدخلات!$H$58="القسط (الدفعة) الاول",B28=1),المدخلات!$J$58,IF(المدخلات!$H$58="شهري",المدخلات!$J$58,IF(AND(المدخلات!$H$58="End of the loan",B28=المدخلات!$E$58),المدخلات!$J$58,"")))),"")</f>
        <v/>
      </c>
      <c r="O28" s="6">
        <f t="shared" si="0"/>
        <v>208.33333333333334</v>
      </c>
      <c r="P28" s="4">
        <f t="shared" si="1"/>
        <v>10525.868335503435</v>
      </c>
      <c r="T28" s="9">
        <f t="shared" si="2"/>
        <v>45626</v>
      </c>
      <c r="U28" s="5">
        <f t="shared" si="3"/>
        <v>10525.87</v>
      </c>
    </row>
    <row r="29" spans="2:23" x14ac:dyDescent="0.2">
      <c r="B29" s="16">
        <f t="shared" si="6"/>
        <v>12</v>
      </c>
      <c r="C29" s="9">
        <f t="shared" si="7"/>
        <v>45656</v>
      </c>
      <c r="D29" s="6">
        <f>IFERROR((PPMT(المدخلات!$E$55/12,B29,$C$6,المدخلات!$E$54,-المدخلات!$E$65,0))," ")</f>
        <v>-3138.1509082718821</v>
      </c>
      <c r="E29" s="6">
        <f>IFERROR(((IPMT(المدخلات!$E$55/12,B29,$C$6,المدخلات!$E$54,-المدخلات!$E$65,0)))," ")</f>
        <v>-7179.3840938982194</v>
      </c>
      <c r="F29" s="6">
        <f t="shared" si="9"/>
        <v>-36727.075875932962</v>
      </c>
      <c r="G29" s="6">
        <f t="shared" si="8"/>
        <v>-87083.344150108256</v>
      </c>
      <c r="H29" s="6">
        <f t="shared" si="4"/>
        <v>-10317.535002170102</v>
      </c>
      <c r="I29" s="6">
        <f t="shared" si="5"/>
        <v>1563272.924124067</v>
      </c>
      <c r="J29" s="6" t="str">
        <f>IF(B29&lt;&gt;"",IF(AND(المدخلات!$H$54="سنوي",MOD(B29,12)=0),المدخلات!$J$54,IF(AND(المدخلات!$H$54="القسط (الدفعة) الاول",B29=1),المدخلات!$J$54,IF(المدخلات!$H$54="شهري",المدخلات!$J$54,""))),"")</f>
        <v/>
      </c>
      <c r="K29" s="6" t="str">
        <f>IF(B29&lt;&gt;"",IF(AND(المدخلات!$H$55="سنوي",MOD(B29,12)=0),المدخلات!$J$55,IF(AND(المدخلات!$H$55="القسط (الدفعة) الاول",B29=1),المدخلات!$J$55,IF(المدخلات!$H$55="شهري",المدخلات!$J$55,""))),"")</f>
        <v/>
      </c>
      <c r="L29" s="6">
        <f>IF(B29&lt;&gt;"",IF(AND(المدخلات!$H$56="سنوي",MOD(B29,12)=0),المدخلات!$J$56,IF(AND(المدخلات!$H$56="القسط (الدفعة) الاول",B29=1),المدخلات!$J$56,IF(المدخلات!$H$56="شهري",المدخلات!$J$56,""))),"")</f>
        <v>208.33333333333334</v>
      </c>
      <c r="M29" s="6" t="str">
        <f>IF(B29&lt;&gt;"",IF(AND(المدخلات!$H$57="سنوي",MOD(B29,12)=0),المدخلات!$J$57,IF(AND(المدخلات!$H$57="القسط (الدفعة) الاول",B29=1),المدخلات!$J$57,IF(المدخلات!$H$57="شهري",المدخلات!$J$57,""))),"")</f>
        <v/>
      </c>
      <c r="N29" s="6">
        <f>IF(B29&lt;&gt;"",IF(AND(المدخلات!$H$58="سنوي",MOD(B29,12)=0),المدخلات!$J$58,IF(AND(المدخلات!$H$58="القسط (الدفعة) الاول",B29=1),المدخلات!$J$58,IF(المدخلات!$H$58="شهري",المدخلات!$J$58,IF(AND(المدخلات!$H$58="End of the loan",B29=المدخلات!$E$58),المدخلات!$J$58,"")))),"")</f>
        <v>0</v>
      </c>
      <c r="O29" s="6">
        <f t="shared" si="0"/>
        <v>208.33333333333334</v>
      </c>
      <c r="P29" s="4">
        <f t="shared" si="1"/>
        <v>10525.868335503435</v>
      </c>
      <c r="T29" s="9">
        <f t="shared" si="2"/>
        <v>45656</v>
      </c>
      <c r="U29" s="5">
        <f t="shared" si="3"/>
        <v>10525.87</v>
      </c>
    </row>
    <row r="30" spans="2:23" x14ac:dyDescent="0.2">
      <c r="B30" s="16">
        <f t="shared" si="6"/>
        <v>13</v>
      </c>
      <c r="C30" s="9">
        <f t="shared" si="7"/>
        <v>45687</v>
      </c>
      <c r="D30" s="6">
        <f>IFERROR((PPMT(المدخلات!$E$55/12,B30,$C$6,المدخلات!$E$54,-المدخلات!$E$65,0))," ")</f>
        <v>-3152.5340999347954</v>
      </c>
      <c r="E30" s="6">
        <f>IFERROR(((IPMT(المدخلات!$E$55/12,B30,$C$6,المدخلات!$E$54,-المدخلات!$E$65,0)))," ")</f>
        <v>-7165.000902235307</v>
      </c>
      <c r="F30" s="6">
        <f t="shared" si="9"/>
        <v>-39879.609975867759</v>
      </c>
      <c r="G30" s="6">
        <f t="shared" si="8"/>
        <v>-94248.34505234356</v>
      </c>
      <c r="H30" s="6">
        <f t="shared" si="4"/>
        <v>-10317.535002170102</v>
      </c>
      <c r="I30" s="6">
        <f t="shared" si="5"/>
        <v>1560120.3900241323</v>
      </c>
      <c r="J30" s="6" t="str">
        <f>IF(B30&lt;&gt;"",IF(AND(المدخلات!$H$54="سنوي",MOD(B30,12)=0),المدخلات!$J$54,IF(AND(المدخلات!$H$54="القسط (الدفعة) الاول",B30=1),المدخلات!$J$54,IF(المدخلات!$H$54="شهري",المدخلات!$J$54,""))),"")</f>
        <v/>
      </c>
      <c r="K30" s="6" t="str">
        <f>IF(B30&lt;&gt;"",IF(AND(المدخلات!$H$55="سنوي",MOD(B30,12)=0),المدخلات!$J$55,IF(AND(المدخلات!$H$55="القسط (الدفعة) الاول",B30=1),المدخلات!$J$55,IF(المدخلات!$H$55="شهري",المدخلات!$J$55,""))),"")</f>
        <v/>
      </c>
      <c r="L30" s="6">
        <f>IF(B30&lt;&gt;"",IF(AND(المدخلات!$H$56="سنوي",MOD(B30,12)=0),المدخلات!$J$56,IF(AND(المدخلات!$H$56="القسط (الدفعة) الاول",B30=1),المدخلات!$J$56,IF(المدخلات!$H$56="شهري",المدخلات!$J$56,""))),"")</f>
        <v>208.33333333333334</v>
      </c>
      <c r="M30" s="6" t="str">
        <f>IF(B30&lt;&gt;"",IF(AND(المدخلات!$H$57="سنوي",MOD(B30,12)=0),المدخلات!$J$57,IF(AND(المدخلات!$H$57="القسط (الدفعة) الاول",B30=1),المدخلات!$J$57,IF(المدخلات!$H$57="شهري",المدخلات!$J$57,""))),"")</f>
        <v/>
      </c>
      <c r="N30" s="6" t="str">
        <f>IF(B30&lt;&gt;"",IF(AND(المدخلات!$H$58="سنوي",MOD(B30,12)=0),المدخلات!$J$58,IF(AND(المدخلات!$H$58="القسط (الدفعة) الاول",B30=1),المدخلات!$J$58,IF(المدخلات!$H$58="شهري",المدخلات!$J$58,IF(AND(المدخلات!$H$58="End of the loan",B30=المدخلات!$E$58),المدخلات!$J$58,"")))),"")</f>
        <v/>
      </c>
      <c r="O30" s="6">
        <f t="shared" si="0"/>
        <v>208.33333333333334</v>
      </c>
      <c r="P30" s="4">
        <f t="shared" si="1"/>
        <v>10525.868335503435</v>
      </c>
      <c r="T30" s="9">
        <f t="shared" si="2"/>
        <v>45687</v>
      </c>
      <c r="U30" s="5">
        <f t="shared" si="3"/>
        <v>10525.87</v>
      </c>
    </row>
    <row r="31" spans="2:23" x14ac:dyDescent="0.2">
      <c r="B31" s="16">
        <f t="shared" si="6"/>
        <v>14</v>
      </c>
      <c r="C31" s="9">
        <f t="shared" si="7"/>
        <v>45716</v>
      </c>
      <c r="D31" s="6">
        <f>IFERROR((PPMT(المدخلات!$E$55/12,B31,$C$6,المدخلات!$E$54,-المدخلات!$E$65,0))," ")</f>
        <v>-3166.9832145594964</v>
      </c>
      <c r="E31" s="6">
        <f>IFERROR(((IPMT(المدخلات!$E$55/12,B31,$C$6,المدخلات!$E$54,-المدخلات!$E$65,0)))," ")</f>
        <v>-7150.5517876106042</v>
      </c>
      <c r="F31" s="6">
        <f t="shared" si="9"/>
        <v>-43046.593190427258</v>
      </c>
      <c r="G31" s="6">
        <f t="shared" si="8"/>
        <v>-101398.89683995416</v>
      </c>
      <c r="H31" s="6">
        <f t="shared" si="4"/>
        <v>-10317.535002170102</v>
      </c>
      <c r="I31" s="6">
        <f t="shared" si="5"/>
        <v>1556953.4068095728</v>
      </c>
      <c r="J31" s="6" t="str">
        <f>IF(B31&lt;&gt;"",IF(AND(المدخلات!$H$54="سنوي",MOD(B31,12)=0),المدخلات!$J$54,IF(AND(المدخلات!$H$54="القسط (الدفعة) الاول",B31=1),المدخلات!$J$54,IF(المدخلات!$H$54="شهري",المدخلات!$J$54,""))),"")</f>
        <v/>
      </c>
      <c r="K31" s="6" t="str">
        <f>IF(B31&lt;&gt;"",IF(AND(المدخلات!$H$55="سنوي",MOD(B31,12)=0),المدخلات!$J$55,IF(AND(المدخلات!$H$55="القسط (الدفعة) الاول",B31=1),المدخلات!$J$55,IF(المدخلات!$H$55="شهري",المدخلات!$J$55,""))),"")</f>
        <v/>
      </c>
      <c r="L31" s="6">
        <f>IF(B31&lt;&gt;"",IF(AND(المدخلات!$H$56="سنوي",MOD(B31,12)=0),المدخلات!$J$56,IF(AND(المدخلات!$H$56="القسط (الدفعة) الاول",B31=1),المدخلات!$J$56,IF(المدخلات!$H$56="شهري",المدخلات!$J$56,""))),"")</f>
        <v>208.33333333333334</v>
      </c>
      <c r="M31" s="6" t="str">
        <f>IF(B31&lt;&gt;"",IF(AND(المدخلات!$H$57="سنوي",MOD(B31,12)=0),المدخلات!$J$57,IF(AND(المدخلات!$H$57="القسط (الدفعة) الاول",B31=1),المدخلات!$J$57,IF(المدخلات!$H$57="شهري",المدخلات!$J$57,""))),"")</f>
        <v/>
      </c>
      <c r="N31" s="6" t="str">
        <f>IF(B31&lt;&gt;"",IF(AND(المدخلات!$H$58="سنوي",MOD(B31,12)=0),المدخلات!$J$58,IF(AND(المدخلات!$H$58="القسط (الدفعة) الاول",B31=1),المدخلات!$J$58,IF(المدخلات!$H$58="شهري",المدخلات!$J$58,IF(AND(المدخلات!$H$58="End of the loan",B31=المدخلات!$E$58),المدخلات!$J$58,"")))),"")</f>
        <v/>
      </c>
      <c r="O31" s="6">
        <f t="shared" si="0"/>
        <v>208.33333333333334</v>
      </c>
      <c r="P31" s="4">
        <f t="shared" si="1"/>
        <v>10525.868335503435</v>
      </c>
      <c r="T31" s="9">
        <f t="shared" si="2"/>
        <v>45716</v>
      </c>
      <c r="U31" s="5">
        <f t="shared" si="3"/>
        <v>10525.87</v>
      </c>
    </row>
    <row r="32" spans="2:23" x14ac:dyDescent="0.2">
      <c r="B32" s="16">
        <f t="shared" si="6"/>
        <v>15</v>
      </c>
      <c r="C32" s="9">
        <f t="shared" si="7"/>
        <v>45746</v>
      </c>
      <c r="D32" s="6">
        <f>IFERROR((PPMT(المدخلات!$E$55/12,B32,$C$6,المدخلات!$E$54,-المدخلات!$E$65,0))," ")</f>
        <v>-3181.4985542928944</v>
      </c>
      <c r="E32" s="6">
        <f>IFERROR(((IPMT(المدخلات!$E$55/12,B32,$C$6,المدخلات!$E$54,-المدخلات!$E$65,0)))," ")</f>
        <v>-7136.0364478772071</v>
      </c>
      <c r="F32" s="6">
        <f t="shared" si="9"/>
        <v>-46228.09174472015</v>
      </c>
      <c r="G32" s="6">
        <f t="shared" si="8"/>
        <v>-108534.93328783137</v>
      </c>
      <c r="H32" s="6">
        <f t="shared" si="4"/>
        <v>-10317.535002170102</v>
      </c>
      <c r="I32" s="6">
        <f t="shared" si="5"/>
        <v>1553771.9082552798</v>
      </c>
      <c r="J32" s="6" t="str">
        <f>IF(B32&lt;&gt;"",IF(AND(المدخلات!$H$54="سنوي",MOD(B32,12)=0),المدخلات!$J$54,IF(AND(المدخلات!$H$54="القسط (الدفعة) الاول",B32=1),المدخلات!$J$54,IF(المدخلات!$H$54="شهري",المدخلات!$J$54,""))),"")</f>
        <v/>
      </c>
      <c r="K32" s="6" t="str">
        <f>IF(B32&lt;&gt;"",IF(AND(المدخلات!$H$55="سنوي",MOD(B32,12)=0),المدخلات!$J$55,IF(AND(المدخلات!$H$55="القسط (الدفعة) الاول",B32=1),المدخلات!$J$55,IF(المدخلات!$H$55="شهري",المدخلات!$J$55,""))),"")</f>
        <v/>
      </c>
      <c r="L32" s="6">
        <f>IF(B32&lt;&gt;"",IF(AND(المدخلات!$H$56="سنوي",MOD(B32,12)=0),المدخلات!$J$56,IF(AND(المدخلات!$H$56="القسط (الدفعة) الاول",B32=1),المدخلات!$J$56,IF(المدخلات!$H$56="شهري",المدخلات!$J$56,""))),"")</f>
        <v>208.33333333333334</v>
      </c>
      <c r="M32" s="6" t="str">
        <f>IF(B32&lt;&gt;"",IF(AND(المدخلات!$H$57="سنوي",MOD(B32,12)=0),المدخلات!$J$57,IF(AND(المدخلات!$H$57="القسط (الدفعة) الاول",B32=1),المدخلات!$J$57,IF(المدخلات!$H$57="شهري",المدخلات!$J$57,""))),"")</f>
        <v/>
      </c>
      <c r="N32" s="6" t="str">
        <f>IF(B32&lt;&gt;"",IF(AND(المدخلات!$H$58="سنوي",MOD(B32,12)=0),المدخلات!$J$58,IF(AND(المدخلات!$H$58="القسط (الدفعة) الاول",B32=1),المدخلات!$J$58,IF(المدخلات!$H$58="شهري",المدخلات!$J$58,IF(AND(المدخلات!$H$58="End of the loan",B32=المدخلات!$E$58),المدخلات!$J$58,"")))),"")</f>
        <v/>
      </c>
      <c r="O32" s="6">
        <f t="shared" si="0"/>
        <v>208.33333333333334</v>
      </c>
      <c r="P32" s="4">
        <f t="shared" si="1"/>
        <v>10525.868335503435</v>
      </c>
      <c r="T32" s="9">
        <f t="shared" si="2"/>
        <v>45746</v>
      </c>
      <c r="U32" s="5">
        <f t="shared" si="3"/>
        <v>10525.87</v>
      </c>
    </row>
    <row r="33" spans="2:21" x14ac:dyDescent="0.2">
      <c r="B33" s="16">
        <f t="shared" si="6"/>
        <v>16</v>
      </c>
      <c r="C33" s="9">
        <f t="shared" si="7"/>
        <v>45777</v>
      </c>
      <c r="D33" s="6">
        <f>IFERROR((PPMT(المدخلات!$E$55/12,B33,$C$6,المدخلات!$E$54,-المدخلات!$E$65,0))," ")</f>
        <v>-3196.0804226667365</v>
      </c>
      <c r="E33" s="6">
        <f>IFERROR(((IPMT(المدخلات!$E$55/12,B33,$C$6,المدخلات!$E$54,-المدخلات!$E$65,0)))," ")</f>
        <v>-7121.4545795033655</v>
      </c>
      <c r="F33" s="6">
        <f t="shared" si="9"/>
        <v>-49424.172167386889</v>
      </c>
      <c r="G33" s="6">
        <f t="shared" si="8"/>
        <v>-115656.38786733474</v>
      </c>
      <c r="H33" s="6">
        <f t="shared" si="4"/>
        <v>-10317.535002170102</v>
      </c>
      <c r="I33" s="6">
        <f t="shared" si="5"/>
        <v>1550575.8278326131</v>
      </c>
      <c r="J33" s="6" t="str">
        <f>IF(B33&lt;&gt;"",IF(AND(المدخلات!$H$54="سنوي",MOD(B33,12)=0),المدخلات!$J$54,IF(AND(المدخلات!$H$54="القسط (الدفعة) الاول",B33=1),المدخلات!$J$54,IF(المدخلات!$H$54="شهري",المدخلات!$J$54,""))),"")</f>
        <v/>
      </c>
      <c r="K33" s="6" t="str">
        <f>IF(B33&lt;&gt;"",IF(AND(المدخلات!$H$55="سنوي",MOD(B33,12)=0),المدخلات!$J$55,IF(AND(المدخلات!$H$55="القسط (الدفعة) الاول",B33=1),المدخلات!$J$55,IF(المدخلات!$H$55="شهري",المدخلات!$J$55,""))),"")</f>
        <v/>
      </c>
      <c r="L33" s="6">
        <f>IF(B33&lt;&gt;"",IF(AND(المدخلات!$H$56="سنوي",MOD(B33,12)=0),المدخلات!$J$56,IF(AND(المدخلات!$H$56="القسط (الدفعة) الاول",B33=1),المدخلات!$J$56,IF(المدخلات!$H$56="شهري",المدخلات!$J$56,""))),"")</f>
        <v>208.33333333333334</v>
      </c>
      <c r="M33" s="6" t="str">
        <f>IF(B33&lt;&gt;"",IF(AND(المدخلات!$H$57="سنوي",MOD(B33,12)=0),المدخلات!$J$57,IF(AND(المدخلات!$H$57="القسط (الدفعة) الاول",B33=1),المدخلات!$J$57,IF(المدخلات!$H$57="شهري",المدخلات!$J$57,""))),"")</f>
        <v/>
      </c>
      <c r="N33" s="6" t="str">
        <f>IF(B33&lt;&gt;"",IF(AND(المدخلات!$H$58="سنوي",MOD(B33,12)=0),المدخلات!$J$58,IF(AND(المدخلات!$H$58="القسط (الدفعة) الاول",B33=1),المدخلات!$J$58,IF(المدخلات!$H$58="شهري",المدخلات!$J$58,IF(AND(المدخلات!$H$58="End of the loan",B33=المدخلات!$E$58),المدخلات!$J$58,"")))),"")</f>
        <v/>
      </c>
      <c r="O33" s="6">
        <f t="shared" si="0"/>
        <v>208.33333333333334</v>
      </c>
      <c r="P33" s="4">
        <f t="shared" si="1"/>
        <v>10525.868335503435</v>
      </c>
      <c r="T33" s="9">
        <f t="shared" si="2"/>
        <v>45777</v>
      </c>
      <c r="U33" s="5">
        <f t="shared" si="3"/>
        <v>10525.87</v>
      </c>
    </row>
    <row r="34" spans="2:21" x14ac:dyDescent="0.2">
      <c r="B34" s="16">
        <f t="shared" si="6"/>
        <v>17</v>
      </c>
      <c r="C34" s="9">
        <f t="shared" si="7"/>
        <v>45807</v>
      </c>
      <c r="D34" s="6">
        <f>IFERROR((PPMT(المدخلات!$E$55/12,B34,$C$6,المدخلات!$E$54,-المدخلات!$E$65,0))," ")</f>
        <v>-3210.729124603959</v>
      </c>
      <c r="E34" s="6">
        <f>IFERROR(((IPMT(المدخلات!$E$55/12,B34,$C$6,المدخلات!$E$54,-المدخلات!$E$65,0)))," ")</f>
        <v>-7106.805877566143</v>
      </c>
      <c r="F34" s="6">
        <f t="shared" si="9"/>
        <v>-52634.901291990849</v>
      </c>
      <c r="G34" s="6">
        <f t="shared" si="8"/>
        <v>-122763.19374490088</v>
      </c>
      <c r="H34" s="6">
        <f t="shared" si="4"/>
        <v>-10317.535002170102</v>
      </c>
      <c r="I34" s="6">
        <f t="shared" si="5"/>
        <v>1547365.0987080091</v>
      </c>
      <c r="J34" s="6" t="str">
        <f>IF(B34&lt;&gt;"",IF(AND(المدخلات!$H$54="سنوي",MOD(B34,12)=0),المدخلات!$J$54,IF(AND(المدخلات!$H$54="القسط (الدفعة) الاول",B34=1),المدخلات!$J$54,IF(المدخلات!$H$54="شهري",المدخلات!$J$54,""))),"")</f>
        <v/>
      </c>
      <c r="K34" s="6" t="str">
        <f>IF(B34&lt;&gt;"",IF(AND(المدخلات!$H$55="سنوي",MOD(B34,12)=0),المدخلات!$J$55,IF(AND(المدخلات!$H$55="القسط (الدفعة) الاول",B34=1),المدخلات!$J$55,IF(المدخلات!$H$55="شهري",المدخلات!$J$55,""))),"")</f>
        <v/>
      </c>
      <c r="L34" s="6">
        <f>IF(B34&lt;&gt;"",IF(AND(المدخلات!$H$56="سنوي",MOD(B34,12)=0),المدخلات!$J$56,IF(AND(المدخلات!$H$56="القسط (الدفعة) الاول",B34=1),المدخلات!$J$56,IF(المدخلات!$H$56="شهري",المدخلات!$J$56,""))),"")</f>
        <v>208.33333333333334</v>
      </c>
      <c r="M34" s="6" t="str">
        <f>IF(B34&lt;&gt;"",IF(AND(المدخلات!$H$57="سنوي",MOD(B34,12)=0),المدخلات!$J$57,IF(AND(المدخلات!$H$57="القسط (الدفعة) الاول",B34=1),المدخلات!$J$57,IF(المدخلات!$H$57="شهري",المدخلات!$J$57,""))),"")</f>
        <v/>
      </c>
      <c r="N34" s="6" t="str">
        <f>IF(B34&lt;&gt;"",IF(AND(المدخلات!$H$58="سنوي",MOD(B34,12)=0),المدخلات!$J$58,IF(AND(المدخلات!$H$58="القسط (الدفعة) الاول",B34=1),المدخلات!$J$58,IF(المدخلات!$H$58="شهري",المدخلات!$J$58,IF(AND(المدخلات!$H$58="End of the loan",B34=المدخلات!$E$58),المدخلات!$J$58,"")))),"")</f>
        <v/>
      </c>
      <c r="O34" s="6">
        <f t="shared" si="0"/>
        <v>208.33333333333334</v>
      </c>
      <c r="P34" s="4">
        <f t="shared" si="1"/>
        <v>10525.868335503435</v>
      </c>
      <c r="T34" s="9">
        <f t="shared" si="2"/>
        <v>45807</v>
      </c>
      <c r="U34" s="5">
        <f t="shared" si="3"/>
        <v>10525.87</v>
      </c>
    </row>
    <row r="35" spans="2:21" x14ac:dyDescent="0.2">
      <c r="B35" s="16">
        <f t="shared" si="6"/>
        <v>18</v>
      </c>
      <c r="C35" s="9">
        <f t="shared" si="7"/>
        <v>45838</v>
      </c>
      <c r="D35" s="6">
        <f>IFERROR((PPMT(المدخلات!$E$55/12,B35,$C$6,المدخلات!$E$54,-المدخلات!$E$65,0))," ")</f>
        <v>-3225.4449664250601</v>
      </c>
      <c r="E35" s="6">
        <f>IFERROR(((IPMT(المدخلات!$E$55/12,B35,$C$6,المدخلات!$E$54,-المدخلات!$E$65,0)))," ")</f>
        <v>-7092.090035745041</v>
      </c>
      <c r="F35" s="6">
        <f t="shared" si="9"/>
        <v>-55860.346258415906</v>
      </c>
      <c r="G35" s="6">
        <f t="shared" si="8"/>
        <v>-129855.28378064593</v>
      </c>
      <c r="H35" s="6">
        <f t="shared" si="4"/>
        <v>-10317.535002170102</v>
      </c>
      <c r="I35" s="6">
        <f t="shared" si="5"/>
        <v>1544139.6537415842</v>
      </c>
      <c r="J35" s="6" t="str">
        <f>IF(B35&lt;&gt;"",IF(AND(المدخلات!$H$54="سنوي",MOD(B35,12)=0),المدخلات!$J$54,IF(AND(المدخلات!$H$54="القسط (الدفعة) الاول",B35=1),المدخلات!$J$54,IF(المدخلات!$H$54="شهري",المدخلات!$J$54,""))),"")</f>
        <v/>
      </c>
      <c r="K35" s="6" t="str">
        <f>IF(B35&lt;&gt;"",IF(AND(المدخلات!$H$55="سنوي",MOD(B35,12)=0),المدخلات!$J$55,IF(AND(المدخلات!$H$55="القسط (الدفعة) الاول",B35=1),المدخلات!$J$55,IF(المدخلات!$H$55="شهري",المدخلات!$J$55,""))),"")</f>
        <v/>
      </c>
      <c r="L35" s="6">
        <f>IF(B35&lt;&gt;"",IF(AND(المدخلات!$H$56="سنوي",MOD(B35,12)=0),المدخلات!$J$56,IF(AND(المدخلات!$H$56="القسط (الدفعة) الاول",B35=1),المدخلات!$J$56,IF(المدخلات!$H$56="شهري",المدخلات!$J$56,""))),"")</f>
        <v>208.33333333333334</v>
      </c>
      <c r="M35" s="6" t="str">
        <f>IF(B35&lt;&gt;"",IF(AND(المدخلات!$H$57="سنوي",MOD(B35,12)=0),المدخلات!$J$57,IF(AND(المدخلات!$H$57="القسط (الدفعة) الاول",B35=1),المدخلات!$J$57,IF(المدخلات!$H$57="شهري",المدخلات!$J$57,""))),"")</f>
        <v/>
      </c>
      <c r="N35" s="6" t="str">
        <f>IF(B35&lt;&gt;"",IF(AND(المدخلات!$H$58="سنوي",MOD(B35,12)=0),المدخلات!$J$58,IF(AND(المدخلات!$H$58="القسط (الدفعة) الاول",B35=1),المدخلات!$J$58,IF(المدخلات!$H$58="شهري",المدخلات!$J$58,IF(AND(المدخلات!$H$58="End of the loan",B35=المدخلات!$E$58),المدخلات!$J$58,"")))),"")</f>
        <v/>
      </c>
      <c r="O35" s="6">
        <f t="shared" si="0"/>
        <v>208.33333333333334</v>
      </c>
      <c r="P35" s="4">
        <f t="shared" si="1"/>
        <v>10525.868335503435</v>
      </c>
      <c r="T35" s="9">
        <f t="shared" si="2"/>
        <v>45838</v>
      </c>
      <c r="U35" s="5">
        <f t="shared" si="3"/>
        <v>10525.87</v>
      </c>
    </row>
    <row r="36" spans="2:21" x14ac:dyDescent="0.2">
      <c r="B36" s="16">
        <f t="shared" si="6"/>
        <v>19</v>
      </c>
      <c r="C36" s="9">
        <f t="shared" si="7"/>
        <v>45868</v>
      </c>
      <c r="D36" s="6">
        <f>IFERROR((PPMT(المدخلات!$E$55/12,B36,$C$6,المدخلات!$E$54,-المدخلات!$E$65,0))," ")</f>
        <v>-3240.2282558545089</v>
      </c>
      <c r="E36" s="6">
        <f>IFERROR(((IPMT(المدخلات!$E$55/12,B36,$C$6,المدخلات!$E$54,-المدخلات!$E$65,0)))," ")</f>
        <v>-7077.3067463155921</v>
      </c>
      <c r="F36" s="6">
        <f t="shared" si="9"/>
        <v>-59100.574514270418</v>
      </c>
      <c r="G36" s="6">
        <f t="shared" si="8"/>
        <v>-136932.59052696152</v>
      </c>
      <c r="H36" s="6">
        <f t="shared" si="4"/>
        <v>-10317.535002170102</v>
      </c>
      <c r="I36" s="6">
        <f t="shared" si="5"/>
        <v>1540899.4254857295</v>
      </c>
      <c r="J36" s="6" t="str">
        <f>IF(B36&lt;&gt;"",IF(AND(المدخلات!$H$54="سنوي",MOD(B36,12)=0),المدخلات!$J$54,IF(AND(المدخلات!$H$54="القسط (الدفعة) الاول",B36=1),المدخلات!$J$54,IF(المدخلات!$H$54="شهري",المدخلات!$J$54,""))),"")</f>
        <v/>
      </c>
      <c r="K36" s="6" t="str">
        <f>IF(B36&lt;&gt;"",IF(AND(المدخلات!$H$55="سنوي",MOD(B36,12)=0),المدخلات!$J$55,IF(AND(المدخلات!$H$55="القسط (الدفعة) الاول",B36=1),المدخلات!$J$55,IF(المدخلات!$H$55="شهري",المدخلات!$J$55,""))),"")</f>
        <v/>
      </c>
      <c r="L36" s="6">
        <f>IF(B36&lt;&gt;"",IF(AND(المدخلات!$H$56="سنوي",MOD(B36,12)=0),المدخلات!$J$56,IF(AND(المدخلات!$H$56="القسط (الدفعة) الاول",B36=1),المدخلات!$J$56,IF(المدخلات!$H$56="شهري",المدخلات!$J$56,""))),"")</f>
        <v>208.33333333333334</v>
      </c>
      <c r="M36" s="6" t="str">
        <f>IF(B36&lt;&gt;"",IF(AND(المدخلات!$H$57="سنوي",MOD(B36,12)=0),المدخلات!$J$57,IF(AND(المدخلات!$H$57="القسط (الدفعة) الاول",B36=1),المدخلات!$J$57,IF(المدخلات!$H$57="شهري",المدخلات!$J$57,""))),"")</f>
        <v/>
      </c>
      <c r="N36" s="6" t="str">
        <f>IF(B36&lt;&gt;"",IF(AND(المدخلات!$H$58="سنوي",MOD(B36,12)=0),المدخلات!$J$58,IF(AND(المدخلات!$H$58="القسط (الدفعة) الاول",B36=1),المدخلات!$J$58,IF(المدخلات!$H$58="شهري",المدخلات!$J$58,IF(AND(المدخلات!$H$58="End of the loan",B36=المدخلات!$E$58),المدخلات!$J$58,"")))),"")</f>
        <v/>
      </c>
      <c r="O36" s="6">
        <f t="shared" si="0"/>
        <v>208.33333333333334</v>
      </c>
      <c r="P36" s="4">
        <f t="shared" si="1"/>
        <v>10525.868335503435</v>
      </c>
      <c r="T36" s="9">
        <f t="shared" si="2"/>
        <v>45868</v>
      </c>
      <c r="U36" s="5">
        <f t="shared" si="3"/>
        <v>10525.87</v>
      </c>
    </row>
    <row r="37" spans="2:21" x14ac:dyDescent="0.2">
      <c r="B37" s="16">
        <f t="shared" si="6"/>
        <v>20</v>
      </c>
      <c r="C37" s="9">
        <f t="shared" si="7"/>
        <v>45899</v>
      </c>
      <c r="D37" s="6">
        <f>IFERROR((PPMT(المدخلات!$E$55/12,B37,$C$6,المدخلات!$E$54,-المدخلات!$E$65,0))," ")</f>
        <v>-3255.0793020271749</v>
      </c>
      <c r="E37" s="6">
        <f>IFERROR(((IPMT(المدخلات!$E$55/12,B37,$C$6,المدخلات!$E$54,-المدخلات!$E$65,0)))," ")</f>
        <v>-7062.4557001429266</v>
      </c>
      <c r="F37" s="6">
        <f t="shared" si="9"/>
        <v>-62355.653816297592</v>
      </c>
      <c r="G37" s="6">
        <f t="shared" si="8"/>
        <v>-143995.04622710444</v>
      </c>
      <c r="H37" s="6">
        <f t="shared" si="4"/>
        <v>-10317.535002170102</v>
      </c>
      <c r="I37" s="6">
        <f t="shared" si="5"/>
        <v>1537644.3461837023</v>
      </c>
      <c r="J37" s="6" t="str">
        <f>IF(B37&lt;&gt;"",IF(AND(المدخلات!$H$54="سنوي",MOD(B37,12)=0),المدخلات!$J$54,IF(AND(المدخلات!$H$54="القسط (الدفعة) الاول",B37=1),المدخلات!$J$54,IF(المدخلات!$H$54="شهري",المدخلات!$J$54,""))),"")</f>
        <v/>
      </c>
      <c r="K37" s="6" t="str">
        <f>IF(B37&lt;&gt;"",IF(AND(المدخلات!$H$55="سنوي",MOD(B37,12)=0),المدخلات!$J$55,IF(AND(المدخلات!$H$55="القسط (الدفعة) الاول",B37=1),المدخلات!$J$55,IF(المدخلات!$H$55="شهري",المدخلات!$J$55,""))),"")</f>
        <v/>
      </c>
      <c r="L37" s="6">
        <f>IF(B37&lt;&gt;"",IF(AND(المدخلات!$H$56="سنوي",MOD(B37,12)=0),المدخلات!$J$56,IF(AND(المدخلات!$H$56="القسط (الدفعة) الاول",B37=1),المدخلات!$J$56,IF(المدخلات!$H$56="شهري",المدخلات!$J$56,""))),"")</f>
        <v>208.33333333333334</v>
      </c>
      <c r="M37" s="6" t="str">
        <f>IF(B37&lt;&gt;"",IF(AND(المدخلات!$H$57="سنوي",MOD(B37,12)=0),المدخلات!$J$57,IF(AND(المدخلات!$H$57="القسط (الدفعة) الاول",B37=1),المدخلات!$J$57,IF(المدخلات!$H$57="شهري",المدخلات!$J$57,""))),"")</f>
        <v/>
      </c>
      <c r="N37" s="6" t="str">
        <f>IF(B37&lt;&gt;"",IF(AND(المدخلات!$H$58="سنوي",MOD(B37,12)=0),المدخلات!$J$58,IF(AND(المدخلات!$H$58="القسط (الدفعة) الاول",B37=1),المدخلات!$J$58,IF(المدخلات!$H$58="شهري",المدخلات!$J$58,IF(AND(المدخلات!$H$58="End of the loan",B37=المدخلات!$E$58),المدخلات!$J$58,"")))),"")</f>
        <v/>
      </c>
      <c r="O37" s="6">
        <f t="shared" si="0"/>
        <v>208.33333333333334</v>
      </c>
      <c r="P37" s="4">
        <f t="shared" si="1"/>
        <v>10525.868335503435</v>
      </c>
      <c r="T37" s="9">
        <f t="shared" si="2"/>
        <v>45899</v>
      </c>
      <c r="U37" s="5">
        <f t="shared" si="3"/>
        <v>10525.87</v>
      </c>
    </row>
    <row r="38" spans="2:21" x14ac:dyDescent="0.2">
      <c r="B38" s="16">
        <f t="shared" si="6"/>
        <v>21</v>
      </c>
      <c r="C38" s="9">
        <f t="shared" si="7"/>
        <v>45930</v>
      </c>
      <c r="D38" s="6">
        <f>IFERROR((PPMT(المدخلات!$E$55/12,B38,$C$6,المدخلات!$E$54,-المدخلات!$E$65,0))," ")</f>
        <v>-3269.9984154948002</v>
      </c>
      <c r="E38" s="6">
        <f>IFERROR(((IPMT(المدخلات!$E$55/12,B38,$C$6,المدخلات!$E$54,-المدخلات!$E$65,0)))," ")</f>
        <v>-7047.5365866753018</v>
      </c>
      <c r="F38" s="6">
        <f t="shared" si="9"/>
        <v>-65625.652231792395</v>
      </c>
      <c r="G38" s="6">
        <f t="shared" si="8"/>
        <v>-151042.58281377974</v>
      </c>
      <c r="H38" s="6">
        <f t="shared" si="4"/>
        <v>-10317.535002170102</v>
      </c>
      <c r="I38" s="6">
        <f t="shared" si="5"/>
        <v>1534374.3477682075</v>
      </c>
      <c r="J38" s="6" t="str">
        <f>IF(B38&lt;&gt;"",IF(AND(المدخلات!$H$54="سنوي",MOD(B38,12)=0),المدخلات!$J$54,IF(AND(المدخلات!$H$54="القسط (الدفعة) الاول",B38=1),المدخلات!$J$54,IF(المدخلات!$H$54="شهري",المدخلات!$J$54,""))),"")</f>
        <v/>
      </c>
      <c r="K38" s="6" t="str">
        <f>IF(B38&lt;&gt;"",IF(AND(المدخلات!$H$55="سنوي",MOD(B38,12)=0),المدخلات!$J$55,IF(AND(المدخلات!$H$55="القسط (الدفعة) الاول",B38=1),المدخلات!$J$55,IF(المدخلات!$H$55="شهري",المدخلات!$J$55,""))),"")</f>
        <v/>
      </c>
      <c r="L38" s="6">
        <f>IF(B38&lt;&gt;"",IF(AND(المدخلات!$H$56="سنوي",MOD(B38,12)=0),المدخلات!$J$56,IF(AND(المدخلات!$H$56="القسط (الدفعة) الاول",B38=1),المدخلات!$J$56,IF(المدخلات!$H$56="شهري",المدخلات!$J$56,""))),"")</f>
        <v>208.33333333333334</v>
      </c>
      <c r="M38" s="6" t="str">
        <f>IF(B38&lt;&gt;"",IF(AND(المدخلات!$H$57="سنوي",MOD(B38,12)=0),المدخلات!$J$57,IF(AND(المدخلات!$H$57="القسط (الدفعة) الاول",B38=1),المدخلات!$J$57,IF(المدخلات!$H$57="شهري",المدخلات!$J$57,""))),"")</f>
        <v/>
      </c>
      <c r="N38" s="6" t="str">
        <f>IF(B38&lt;&gt;"",IF(AND(المدخلات!$H$58="سنوي",MOD(B38,12)=0),المدخلات!$J$58,IF(AND(المدخلات!$H$58="القسط (الدفعة) الاول",B38=1),المدخلات!$J$58,IF(المدخلات!$H$58="شهري",المدخلات!$J$58,IF(AND(المدخلات!$H$58="End of the loan",B38=المدخلات!$E$58),المدخلات!$J$58,"")))),"")</f>
        <v/>
      </c>
      <c r="O38" s="6">
        <f t="shared" si="0"/>
        <v>208.33333333333334</v>
      </c>
      <c r="P38" s="4">
        <f t="shared" si="1"/>
        <v>10525.868335503435</v>
      </c>
      <c r="T38" s="9">
        <f t="shared" si="2"/>
        <v>45930</v>
      </c>
      <c r="U38" s="5">
        <f t="shared" si="3"/>
        <v>10525.87</v>
      </c>
    </row>
    <row r="39" spans="2:21" x14ac:dyDescent="0.2">
      <c r="B39" s="16">
        <f t="shared" si="6"/>
        <v>22</v>
      </c>
      <c r="C39" s="9">
        <f t="shared" si="7"/>
        <v>45960</v>
      </c>
      <c r="D39" s="6">
        <f>IFERROR((PPMT(المدخلات!$E$55/12,B39,$C$6,المدخلات!$E$54,-المدخلات!$E$65,0))," ")</f>
        <v>-3284.9859082324842</v>
      </c>
      <c r="E39" s="6">
        <f>IFERROR(((IPMT(المدخلات!$E$55/12,B39,$C$6,المدخلات!$E$54,-المدخلات!$E$65,0)))," ")</f>
        <v>-7032.5490939376177</v>
      </c>
      <c r="F39" s="6">
        <f t="shared" si="9"/>
        <v>-68910.638140024879</v>
      </c>
      <c r="G39" s="6">
        <f t="shared" si="8"/>
        <v>-158075.13190771735</v>
      </c>
      <c r="H39" s="6">
        <f t="shared" si="4"/>
        <v>-10317.535002170102</v>
      </c>
      <c r="I39" s="6">
        <f t="shared" si="5"/>
        <v>1531089.3618599751</v>
      </c>
      <c r="J39" s="6" t="str">
        <f>IF(B39&lt;&gt;"",IF(AND(المدخلات!$H$54="سنوي",MOD(B39,12)=0),المدخلات!$J$54,IF(AND(المدخلات!$H$54="القسط (الدفعة) الاول",B39=1),المدخلات!$J$54,IF(المدخلات!$H$54="شهري",المدخلات!$J$54,""))),"")</f>
        <v/>
      </c>
      <c r="K39" s="6" t="str">
        <f>IF(B39&lt;&gt;"",IF(AND(المدخلات!$H$55="سنوي",MOD(B39,12)=0),المدخلات!$J$55,IF(AND(المدخلات!$H$55="القسط (الدفعة) الاول",B39=1),المدخلات!$J$55,IF(المدخلات!$H$55="شهري",المدخلات!$J$55,""))),"")</f>
        <v/>
      </c>
      <c r="L39" s="6">
        <f>IF(B39&lt;&gt;"",IF(AND(المدخلات!$H$56="سنوي",MOD(B39,12)=0),المدخلات!$J$56,IF(AND(المدخلات!$H$56="القسط (الدفعة) الاول",B39=1),المدخلات!$J$56,IF(المدخلات!$H$56="شهري",المدخلات!$J$56,""))),"")</f>
        <v>208.33333333333334</v>
      </c>
      <c r="M39" s="6" t="str">
        <f>IF(B39&lt;&gt;"",IF(AND(المدخلات!$H$57="سنوي",MOD(B39,12)=0),المدخلات!$J$57,IF(AND(المدخلات!$H$57="القسط (الدفعة) الاول",B39=1),المدخلات!$J$57,IF(المدخلات!$H$57="شهري",المدخلات!$J$57,""))),"")</f>
        <v/>
      </c>
      <c r="N39" s="6" t="str">
        <f>IF(B39&lt;&gt;"",IF(AND(المدخلات!$H$58="سنوي",MOD(B39,12)=0),المدخلات!$J$58,IF(AND(المدخلات!$H$58="القسط (الدفعة) الاول",B39=1),المدخلات!$J$58,IF(المدخلات!$H$58="شهري",المدخلات!$J$58,IF(AND(المدخلات!$H$58="End of the loan",B39=المدخلات!$E$58),المدخلات!$J$58,"")))),"")</f>
        <v/>
      </c>
      <c r="O39" s="6">
        <f t="shared" si="0"/>
        <v>208.33333333333334</v>
      </c>
      <c r="P39" s="4">
        <f t="shared" si="1"/>
        <v>10525.868335503435</v>
      </c>
      <c r="T39" s="9">
        <f t="shared" si="2"/>
        <v>45960</v>
      </c>
      <c r="U39" s="5">
        <f t="shared" si="3"/>
        <v>10525.87</v>
      </c>
    </row>
    <row r="40" spans="2:21" x14ac:dyDescent="0.2">
      <c r="B40" s="16">
        <f t="shared" si="6"/>
        <v>23</v>
      </c>
      <c r="C40" s="9">
        <f t="shared" si="7"/>
        <v>45991</v>
      </c>
      <c r="D40" s="6">
        <f>IFERROR((PPMT(المدخلات!$E$55/12,B40,$C$6,المدخلات!$E$54,-المدخلات!$E$65,0))," ")</f>
        <v>-3300.0420936452169</v>
      </c>
      <c r="E40" s="6">
        <f>IFERROR(((IPMT(المدخلات!$E$55/12,B40,$C$6,المدخلات!$E$54,-المدخلات!$E$65,0)))," ")</f>
        <v>-7017.4929085248859</v>
      </c>
      <c r="F40" s="6">
        <f t="shared" si="9"/>
        <v>-72210.680233670093</v>
      </c>
      <c r="G40" s="6">
        <f t="shared" si="8"/>
        <v>-165092.62481624223</v>
      </c>
      <c r="H40" s="6">
        <f t="shared" si="4"/>
        <v>-10317.535002170103</v>
      </c>
      <c r="I40" s="6">
        <f t="shared" si="5"/>
        <v>1527789.3197663298</v>
      </c>
      <c r="J40" s="6" t="str">
        <f>IF(B40&lt;&gt;"",IF(AND(المدخلات!$H$54="سنوي",MOD(B40,12)=0),المدخلات!$J$54,IF(AND(المدخلات!$H$54="القسط (الدفعة) الاول",B40=1),المدخلات!$J$54,IF(المدخلات!$H$54="شهري",المدخلات!$J$54,""))),"")</f>
        <v/>
      </c>
      <c r="K40" s="6" t="str">
        <f>IF(B40&lt;&gt;"",IF(AND(المدخلات!$H$55="سنوي",MOD(B40,12)=0),المدخلات!$J$55,IF(AND(المدخلات!$H$55="القسط (الدفعة) الاول",B40=1),المدخلات!$J$55,IF(المدخلات!$H$55="شهري",المدخلات!$J$55,""))),"")</f>
        <v/>
      </c>
      <c r="L40" s="6">
        <f>IF(B40&lt;&gt;"",IF(AND(المدخلات!$H$56="سنوي",MOD(B40,12)=0),المدخلات!$J$56,IF(AND(المدخلات!$H$56="القسط (الدفعة) الاول",B40=1),المدخلات!$J$56,IF(المدخلات!$H$56="شهري",المدخلات!$J$56,""))),"")</f>
        <v>208.33333333333334</v>
      </c>
      <c r="M40" s="6" t="str">
        <f>IF(B40&lt;&gt;"",IF(AND(المدخلات!$H$57="سنوي",MOD(B40,12)=0),المدخلات!$J$57,IF(AND(المدخلات!$H$57="القسط (الدفعة) الاول",B40=1),المدخلات!$J$57,IF(المدخلات!$H$57="شهري",المدخلات!$J$57,""))),"")</f>
        <v/>
      </c>
      <c r="N40" s="6" t="str">
        <f>IF(B40&lt;&gt;"",IF(AND(المدخلات!$H$58="سنوي",MOD(B40,12)=0),المدخلات!$J$58,IF(AND(المدخلات!$H$58="القسط (الدفعة) الاول",B40=1),المدخلات!$J$58,IF(المدخلات!$H$58="شهري",المدخلات!$J$58,IF(AND(المدخلات!$H$58="End of the loan",B40=المدخلات!$E$58),المدخلات!$J$58,"")))),"")</f>
        <v/>
      </c>
      <c r="O40" s="6">
        <f t="shared" si="0"/>
        <v>208.33333333333334</v>
      </c>
      <c r="P40" s="4">
        <f t="shared" si="1"/>
        <v>10525.868335503437</v>
      </c>
      <c r="T40" s="9">
        <f t="shared" si="2"/>
        <v>45991</v>
      </c>
      <c r="U40" s="5">
        <f t="shared" si="3"/>
        <v>10525.87</v>
      </c>
    </row>
    <row r="41" spans="2:21" x14ac:dyDescent="0.2">
      <c r="B41" s="16">
        <f t="shared" si="6"/>
        <v>24</v>
      </c>
      <c r="C41" s="9">
        <f t="shared" si="7"/>
        <v>46021</v>
      </c>
      <c r="D41" s="6">
        <f>IFERROR((PPMT(المدخلات!$E$55/12,B41,$C$6,المدخلات!$E$54,-المدخلات!$E$65,0))," ")</f>
        <v>-3315.1672865744235</v>
      </c>
      <c r="E41" s="6">
        <f>IFERROR(((IPMT(المدخلات!$E$55/12,B41,$C$6,المدخلات!$E$54,-المدخلات!$E$65,0)))," ")</f>
        <v>-7002.3677155956775</v>
      </c>
      <c r="F41" s="6">
        <f t="shared" si="9"/>
        <v>-75525.847520244512</v>
      </c>
      <c r="G41" s="6">
        <f t="shared" si="8"/>
        <v>-172094.9925318379</v>
      </c>
      <c r="H41" s="6">
        <f t="shared" si="4"/>
        <v>-10317.535002170102</v>
      </c>
      <c r="I41" s="6">
        <f t="shared" si="5"/>
        <v>1524474.1524797555</v>
      </c>
      <c r="J41" s="6" t="str">
        <f>IF(B41&lt;&gt;"",IF(AND(المدخلات!$H$54="سنوي",MOD(B41,12)=0),المدخلات!$J$54,IF(AND(المدخلات!$H$54="القسط (الدفعة) الاول",B41=1),المدخلات!$J$54,IF(المدخلات!$H$54="شهري",المدخلات!$J$54,""))),"")</f>
        <v/>
      </c>
      <c r="K41" s="6" t="str">
        <f>IF(B41&lt;&gt;"",IF(AND(المدخلات!$H$55="سنوي",MOD(B41,12)=0),المدخلات!$J$55,IF(AND(المدخلات!$H$55="القسط (الدفعة) الاول",B41=1),المدخلات!$J$55,IF(المدخلات!$H$55="شهري",المدخلات!$J$55,""))),"")</f>
        <v/>
      </c>
      <c r="L41" s="6">
        <f>IF(B41&lt;&gt;"",IF(AND(المدخلات!$H$56="سنوي",MOD(B41,12)=0),المدخلات!$J$56,IF(AND(المدخلات!$H$56="القسط (الدفعة) الاول",B41=1),المدخلات!$J$56,IF(المدخلات!$H$56="شهري",المدخلات!$J$56,""))),"")</f>
        <v>208.33333333333334</v>
      </c>
      <c r="M41" s="6" t="str">
        <f>IF(B41&lt;&gt;"",IF(AND(المدخلات!$H$57="سنوي",MOD(B41,12)=0),المدخلات!$J$57,IF(AND(المدخلات!$H$57="القسط (الدفعة) الاول",B41=1),المدخلات!$J$57,IF(المدخلات!$H$57="شهري",المدخلات!$J$57,""))),"")</f>
        <v/>
      </c>
      <c r="N41" s="6">
        <f>IF(B41&lt;&gt;"",IF(AND(المدخلات!$H$58="سنوي",MOD(B41,12)=0),المدخلات!$J$58,IF(AND(المدخلات!$H$58="القسط (الدفعة) الاول",B41=1),المدخلات!$J$58,IF(المدخلات!$H$58="شهري",المدخلات!$J$58,IF(AND(المدخلات!$H$58="End of the loan",B41=المدخلات!$E$58),المدخلات!$J$58,"")))),"")</f>
        <v>0</v>
      </c>
      <c r="O41" s="6">
        <f t="shared" si="0"/>
        <v>208.33333333333334</v>
      </c>
      <c r="P41" s="4">
        <f t="shared" si="1"/>
        <v>10525.868335503435</v>
      </c>
      <c r="T41" s="9">
        <f t="shared" si="2"/>
        <v>46021</v>
      </c>
      <c r="U41" s="5">
        <f t="shared" si="3"/>
        <v>10525.87</v>
      </c>
    </row>
    <row r="42" spans="2:21" x14ac:dyDescent="0.2">
      <c r="B42" s="16">
        <f t="shared" si="6"/>
        <v>25</v>
      </c>
      <c r="C42" s="9">
        <f t="shared" si="7"/>
        <v>46052</v>
      </c>
      <c r="D42" s="6">
        <f>IFERROR((PPMT(المدخلات!$E$55/12,B42,$C$6,المدخلات!$E$54,-المدخلات!$E$65,0))," ")</f>
        <v>-3330.3618033045568</v>
      </c>
      <c r="E42" s="6">
        <f>IFERROR(((IPMT(المدخلات!$E$55/12,B42,$C$6,المدخلات!$E$54,-المدخلات!$E$65,0)))," ")</f>
        <v>-6987.1731988655447</v>
      </c>
      <c r="F42" s="6">
        <f t="shared" si="9"/>
        <v>-78856.209323549061</v>
      </c>
      <c r="G42" s="6">
        <f t="shared" si="8"/>
        <v>-179082.16573070345</v>
      </c>
      <c r="H42" s="6">
        <f t="shared" si="4"/>
        <v>-10317.535002170102</v>
      </c>
      <c r="I42" s="6">
        <f t="shared" si="5"/>
        <v>1521143.7906764508</v>
      </c>
      <c r="J42" s="6" t="str">
        <f>IF(B42&lt;&gt;"",IF(AND(المدخلات!$H$54="سنوي",MOD(B42,12)=0),المدخلات!$J$54,IF(AND(المدخلات!$H$54="القسط (الدفعة) الاول",B42=1),المدخلات!$J$54,IF(المدخلات!$H$54="شهري",المدخلات!$J$54,""))),"")</f>
        <v/>
      </c>
      <c r="K42" s="6" t="str">
        <f>IF(B42&lt;&gt;"",IF(AND(المدخلات!$H$55="سنوي",MOD(B42,12)=0),المدخلات!$J$55,IF(AND(المدخلات!$H$55="القسط (الدفعة) الاول",B42=1),المدخلات!$J$55,IF(المدخلات!$H$55="شهري",المدخلات!$J$55,""))),"")</f>
        <v/>
      </c>
      <c r="L42" s="6">
        <f>IF(B42&lt;&gt;"",IF(AND(المدخلات!$H$56="سنوي",MOD(B42,12)=0),المدخلات!$J$56,IF(AND(المدخلات!$H$56="القسط (الدفعة) الاول",B42=1),المدخلات!$J$56,IF(المدخلات!$H$56="شهري",المدخلات!$J$56,""))),"")</f>
        <v>208.33333333333334</v>
      </c>
      <c r="M42" s="6" t="str">
        <f>IF(B42&lt;&gt;"",IF(AND(المدخلات!$H$57="سنوي",MOD(B42,12)=0),المدخلات!$J$57,IF(AND(المدخلات!$H$57="القسط (الدفعة) الاول",B42=1),المدخلات!$J$57,IF(المدخلات!$H$57="شهري",المدخلات!$J$57,""))),"")</f>
        <v/>
      </c>
      <c r="N42" s="6" t="str">
        <f>IF(B42&lt;&gt;"",IF(AND(المدخلات!$H$58="سنوي",MOD(B42,12)=0),المدخلات!$J$58,IF(AND(المدخلات!$H$58="القسط (الدفعة) الاول",B42=1),المدخلات!$J$58,IF(المدخلات!$H$58="شهري",المدخلات!$J$58,IF(AND(المدخلات!$H$58="End of the loan",B42=المدخلات!$E$58),المدخلات!$J$58,"")))),"")</f>
        <v/>
      </c>
      <c r="O42" s="6">
        <f t="shared" si="0"/>
        <v>208.33333333333334</v>
      </c>
      <c r="P42" s="4">
        <f t="shared" si="1"/>
        <v>10525.868335503435</v>
      </c>
      <c r="T42" s="9">
        <f t="shared" si="2"/>
        <v>46052</v>
      </c>
      <c r="U42" s="5">
        <f t="shared" si="3"/>
        <v>10525.87</v>
      </c>
    </row>
    <row r="43" spans="2:21" x14ac:dyDescent="0.2">
      <c r="B43" s="16">
        <f t="shared" si="6"/>
        <v>26</v>
      </c>
      <c r="C43" s="9">
        <f t="shared" si="7"/>
        <v>46081</v>
      </c>
      <c r="D43" s="6">
        <f>IFERROR((PPMT(المدخلات!$E$55/12,B43,$C$6,المدخلات!$E$54,-المدخلات!$E$65,0))," ")</f>
        <v>-3345.6259615697022</v>
      </c>
      <c r="E43" s="6">
        <f>IFERROR(((IPMT(المدخلات!$E$55/12,B43,$C$6,المدخلات!$E$54,-المدخلات!$E$65,0)))," ")</f>
        <v>-6971.9090406003997</v>
      </c>
      <c r="F43" s="6">
        <f t="shared" si="9"/>
        <v>-82201.835285118766</v>
      </c>
      <c r="G43" s="6">
        <f t="shared" si="8"/>
        <v>-186054.07477130386</v>
      </c>
      <c r="H43" s="6">
        <f t="shared" si="4"/>
        <v>-10317.535002170102</v>
      </c>
      <c r="I43" s="6">
        <f t="shared" si="5"/>
        <v>1517798.1647148812</v>
      </c>
      <c r="J43" s="6" t="str">
        <f>IF(B43&lt;&gt;"",IF(AND(المدخلات!$H$54="سنوي",MOD(B43,12)=0),المدخلات!$J$54,IF(AND(المدخلات!$H$54="القسط (الدفعة) الاول",B43=1),المدخلات!$J$54,IF(المدخلات!$H$54="شهري",المدخلات!$J$54,""))),"")</f>
        <v/>
      </c>
      <c r="K43" s="6" t="str">
        <f>IF(B43&lt;&gt;"",IF(AND(المدخلات!$H$55="سنوي",MOD(B43,12)=0),المدخلات!$J$55,IF(AND(المدخلات!$H$55="القسط (الدفعة) الاول",B43=1),المدخلات!$J$55,IF(المدخلات!$H$55="شهري",المدخلات!$J$55,""))),"")</f>
        <v/>
      </c>
      <c r="L43" s="6">
        <f>IF(B43&lt;&gt;"",IF(AND(المدخلات!$H$56="سنوي",MOD(B43,12)=0),المدخلات!$J$56,IF(AND(المدخلات!$H$56="القسط (الدفعة) الاول",B43=1),المدخلات!$J$56,IF(المدخلات!$H$56="شهري",المدخلات!$J$56,""))),"")</f>
        <v>208.33333333333334</v>
      </c>
      <c r="M43" s="6" t="str">
        <f>IF(B43&lt;&gt;"",IF(AND(المدخلات!$H$57="سنوي",MOD(B43,12)=0),المدخلات!$J$57,IF(AND(المدخلات!$H$57="القسط (الدفعة) الاول",B43=1),المدخلات!$J$57,IF(المدخلات!$H$57="شهري",المدخلات!$J$57,""))),"")</f>
        <v/>
      </c>
      <c r="N43" s="6" t="str">
        <f>IF(B43&lt;&gt;"",IF(AND(المدخلات!$H$58="سنوي",MOD(B43,12)=0),المدخلات!$J$58,IF(AND(المدخلات!$H$58="القسط (الدفعة) الاول",B43=1),المدخلات!$J$58,IF(المدخلات!$H$58="شهري",المدخلات!$J$58,IF(AND(المدخلات!$H$58="End of the loan",B43=المدخلات!$E$58),المدخلات!$J$58,"")))),"")</f>
        <v/>
      </c>
      <c r="O43" s="6">
        <f t="shared" si="0"/>
        <v>208.33333333333334</v>
      </c>
      <c r="P43" s="4">
        <f t="shared" si="1"/>
        <v>10525.868335503435</v>
      </c>
      <c r="T43" s="9">
        <f t="shared" si="2"/>
        <v>46081</v>
      </c>
      <c r="U43" s="5">
        <f t="shared" si="3"/>
        <v>10525.87</v>
      </c>
    </row>
    <row r="44" spans="2:21" x14ac:dyDescent="0.2">
      <c r="B44" s="16">
        <f t="shared" si="6"/>
        <v>27</v>
      </c>
      <c r="C44" s="9">
        <f t="shared" si="7"/>
        <v>46111</v>
      </c>
      <c r="D44" s="6">
        <f>IFERROR((PPMT(المدخلات!$E$55/12,B44,$C$6,المدخلات!$E$54,-المدخلات!$E$65,0))," ")</f>
        <v>-3360.9600805602299</v>
      </c>
      <c r="E44" s="6">
        <f>IFERROR(((IPMT(المدخلات!$E$55/12,B44,$C$6,المدخلات!$E$54,-المدخلات!$E$65,0)))," ")</f>
        <v>-6956.5749216098711</v>
      </c>
      <c r="F44" s="6">
        <f t="shared" si="9"/>
        <v>-85562.79536567899</v>
      </c>
      <c r="G44" s="6">
        <f t="shared" si="8"/>
        <v>-193010.64969291372</v>
      </c>
      <c r="H44" s="6">
        <f t="shared" si="4"/>
        <v>-10317.535002170102</v>
      </c>
      <c r="I44" s="6">
        <f t="shared" si="5"/>
        <v>1514437.2046343209</v>
      </c>
      <c r="J44" s="6" t="str">
        <f>IF(B44&lt;&gt;"",IF(AND(المدخلات!$H$54="سنوي",MOD(B44,12)=0),المدخلات!$J$54,IF(AND(المدخلات!$H$54="القسط (الدفعة) الاول",B44=1),المدخلات!$J$54,IF(المدخلات!$H$54="شهري",المدخلات!$J$54,""))),"")</f>
        <v/>
      </c>
      <c r="K44" s="6" t="str">
        <f>IF(B44&lt;&gt;"",IF(AND(المدخلات!$H$55="سنوي",MOD(B44,12)=0),المدخلات!$J$55,IF(AND(المدخلات!$H$55="القسط (الدفعة) الاول",B44=1),المدخلات!$J$55,IF(المدخلات!$H$55="شهري",المدخلات!$J$55,""))),"")</f>
        <v/>
      </c>
      <c r="L44" s="6">
        <f>IF(B44&lt;&gt;"",IF(AND(المدخلات!$H$56="سنوي",MOD(B44,12)=0),المدخلات!$J$56,IF(AND(المدخلات!$H$56="القسط (الدفعة) الاول",B44=1),المدخلات!$J$56,IF(المدخلات!$H$56="شهري",المدخلات!$J$56,""))),"")</f>
        <v>208.33333333333334</v>
      </c>
      <c r="M44" s="6" t="str">
        <f>IF(B44&lt;&gt;"",IF(AND(المدخلات!$H$57="سنوي",MOD(B44,12)=0),المدخلات!$J$57,IF(AND(المدخلات!$H$57="القسط (الدفعة) الاول",B44=1),المدخلات!$J$57,IF(المدخلات!$H$57="شهري",المدخلات!$J$57,""))),"")</f>
        <v/>
      </c>
      <c r="N44" s="6" t="str">
        <f>IF(B44&lt;&gt;"",IF(AND(المدخلات!$H$58="سنوي",MOD(B44,12)=0),المدخلات!$J$58,IF(AND(المدخلات!$H$58="القسط (الدفعة) الاول",B44=1),المدخلات!$J$58,IF(المدخلات!$H$58="شهري",المدخلات!$J$58,IF(AND(المدخلات!$H$58="End of the loan",B44=المدخلات!$E$58),المدخلات!$J$58,"")))),"")</f>
        <v/>
      </c>
      <c r="O44" s="6">
        <f t="shared" si="0"/>
        <v>208.33333333333334</v>
      </c>
      <c r="P44" s="4">
        <f t="shared" si="1"/>
        <v>10525.868335503435</v>
      </c>
      <c r="T44" s="9">
        <f t="shared" si="2"/>
        <v>46111</v>
      </c>
      <c r="U44" s="5">
        <f t="shared" si="3"/>
        <v>10525.87</v>
      </c>
    </row>
    <row r="45" spans="2:21" x14ac:dyDescent="0.2">
      <c r="B45" s="16">
        <f t="shared" si="6"/>
        <v>28</v>
      </c>
      <c r="C45" s="9">
        <f t="shared" si="7"/>
        <v>46142</v>
      </c>
      <c r="D45" s="6">
        <f>IFERROR((PPMT(المدخلات!$E$55/12,B45,$C$6,المدخلات!$E$54,-المدخلات!$E$65,0))," ")</f>
        <v>-3376.3644809294642</v>
      </c>
      <c r="E45" s="6">
        <f>IFERROR(((IPMT(المدخلات!$E$55/12,B45,$C$6,المدخلات!$E$54,-المدخلات!$E$65,0)))," ")</f>
        <v>-6941.1705212406368</v>
      </c>
      <c r="F45" s="6">
        <f t="shared" si="9"/>
        <v>-88939.159846608454</v>
      </c>
      <c r="G45" s="6">
        <f t="shared" si="8"/>
        <v>-199951.82021415434</v>
      </c>
      <c r="H45" s="6">
        <f t="shared" si="4"/>
        <v>-10317.535002170102</v>
      </c>
      <c r="I45" s="6">
        <f t="shared" si="5"/>
        <v>1511060.8401533915</v>
      </c>
      <c r="J45" s="6" t="str">
        <f>IF(B45&lt;&gt;"",IF(AND(المدخلات!$H$54="سنوي",MOD(B45,12)=0),المدخلات!$J$54,IF(AND(المدخلات!$H$54="القسط (الدفعة) الاول",B45=1),المدخلات!$J$54,IF(المدخلات!$H$54="شهري",المدخلات!$J$54,""))),"")</f>
        <v/>
      </c>
      <c r="K45" s="6" t="str">
        <f>IF(B45&lt;&gt;"",IF(AND(المدخلات!$H$55="سنوي",MOD(B45,12)=0),المدخلات!$J$55,IF(AND(المدخلات!$H$55="القسط (الدفعة) الاول",B45=1),المدخلات!$J$55,IF(المدخلات!$H$55="شهري",المدخلات!$J$55,""))),"")</f>
        <v/>
      </c>
      <c r="L45" s="6">
        <f>IF(B45&lt;&gt;"",IF(AND(المدخلات!$H$56="سنوي",MOD(B45,12)=0),المدخلات!$J$56,IF(AND(المدخلات!$H$56="القسط (الدفعة) الاول",B45=1),المدخلات!$J$56,IF(المدخلات!$H$56="شهري",المدخلات!$J$56,""))),"")</f>
        <v>208.33333333333334</v>
      </c>
      <c r="M45" s="6" t="str">
        <f>IF(B45&lt;&gt;"",IF(AND(المدخلات!$H$57="سنوي",MOD(B45,12)=0),المدخلات!$J$57,IF(AND(المدخلات!$H$57="القسط (الدفعة) الاول",B45=1),المدخلات!$J$57,IF(المدخلات!$H$57="شهري",المدخلات!$J$57,""))),"")</f>
        <v/>
      </c>
      <c r="N45" s="6" t="str">
        <f>IF(B45&lt;&gt;"",IF(AND(المدخلات!$H$58="سنوي",MOD(B45,12)=0),المدخلات!$J$58,IF(AND(المدخلات!$H$58="القسط (الدفعة) الاول",B45=1),المدخلات!$J$58,IF(المدخلات!$H$58="شهري",المدخلات!$J$58,IF(AND(المدخلات!$H$58="End of the loan",B45=المدخلات!$E$58),المدخلات!$J$58,"")))),"")</f>
        <v/>
      </c>
      <c r="O45" s="6">
        <f t="shared" si="0"/>
        <v>208.33333333333334</v>
      </c>
      <c r="P45" s="4">
        <f t="shared" si="1"/>
        <v>10525.868335503435</v>
      </c>
      <c r="T45" s="9">
        <f t="shared" si="2"/>
        <v>46142</v>
      </c>
      <c r="U45" s="5">
        <f t="shared" si="3"/>
        <v>10525.87</v>
      </c>
    </row>
    <row r="46" spans="2:21" x14ac:dyDescent="0.2">
      <c r="B46" s="16">
        <f t="shared" si="6"/>
        <v>29</v>
      </c>
      <c r="C46" s="9">
        <f t="shared" si="7"/>
        <v>46172</v>
      </c>
      <c r="D46" s="6">
        <f>IFERROR((PPMT(المدخلات!$E$55/12,B46,$C$6,المدخلات!$E$54,-المدخلات!$E$65,0))," ")</f>
        <v>-3391.8394848003909</v>
      </c>
      <c r="E46" s="6">
        <f>IFERROR(((IPMT(المدخلات!$E$55/12,B46,$C$6,المدخلات!$E$54,-المدخلات!$E$65,0)))," ")</f>
        <v>-6925.6955173697097</v>
      </c>
      <c r="F46" s="6">
        <f t="shared" si="9"/>
        <v>-92330.99933140885</v>
      </c>
      <c r="G46" s="6">
        <f t="shared" si="8"/>
        <v>-206877.51573152406</v>
      </c>
      <c r="H46" s="6">
        <f t="shared" si="4"/>
        <v>-10317.535002170102</v>
      </c>
      <c r="I46" s="6">
        <f t="shared" si="5"/>
        <v>1507669.0006685911</v>
      </c>
      <c r="J46" s="6" t="str">
        <f>IF(B46&lt;&gt;"",IF(AND(المدخلات!$H$54="سنوي",MOD(B46,12)=0),المدخلات!$J$54,IF(AND(المدخلات!$H$54="القسط (الدفعة) الاول",B46=1),المدخلات!$J$54,IF(المدخلات!$H$54="شهري",المدخلات!$J$54,""))),"")</f>
        <v/>
      </c>
      <c r="K46" s="6" t="str">
        <f>IF(B46&lt;&gt;"",IF(AND(المدخلات!$H$55="سنوي",MOD(B46,12)=0),المدخلات!$J$55,IF(AND(المدخلات!$H$55="القسط (الدفعة) الاول",B46=1),المدخلات!$J$55,IF(المدخلات!$H$55="شهري",المدخلات!$J$55,""))),"")</f>
        <v/>
      </c>
      <c r="L46" s="6">
        <f>IF(B46&lt;&gt;"",IF(AND(المدخلات!$H$56="سنوي",MOD(B46,12)=0),المدخلات!$J$56,IF(AND(المدخلات!$H$56="القسط (الدفعة) الاول",B46=1),المدخلات!$J$56,IF(المدخلات!$H$56="شهري",المدخلات!$J$56,""))),"")</f>
        <v>208.33333333333334</v>
      </c>
      <c r="M46" s="6" t="str">
        <f>IF(B46&lt;&gt;"",IF(AND(المدخلات!$H$57="سنوي",MOD(B46,12)=0),المدخلات!$J$57,IF(AND(المدخلات!$H$57="القسط (الدفعة) الاول",B46=1),المدخلات!$J$57,IF(المدخلات!$H$57="شهري",المدخلات!$J$57,""))),"")</f>
        <v/>
      </c>
      <c r="N46" s="6" t="str">
        <f>IF(B46&lt;&gt;"",IF(AND(المدخلات!$H$58="سنوي",MOD(B46,12)=0),المدخلات!$J$58,IF(AND(المدخلات!$H$58="القسط (الدفعة) الاول",B46=1),المدخلات!$J$58,IF(المدخلات!$H$58="شهري",المدخلات!$J$58,IF(AND(المدخلات!$H$58="End of the loan",B46=المدخلات!$E$58),المدخلات!$J$58,"")))),"")</f>
        <v/>
      </c>
      <c r="O46" s="6">
        <f t="shared" si="0"/>
        <v>208.33333333333334</v>
      </c>
      <c r="P46" s="4">
        <f t="shared" si="1"/>
        <v>10525.868335503435</v>
      </c>
      <c r="T46" s="9">
        <f t="shared" si="2"/>
        <v>46172</v>
      </c>
      <c r="U46" s="5">
        <f t="shared" si="3"/>
        <v>10525.87</v>
      </c>
    </row>
    <row r="47" spans="2:21" x14ac:dyDescent="0.2">
      <c r="B47" s="16">
        <f t="shared" si="6"/>
        <v>30</v>
      </c>
      <c r="C47" s="9">
        <f t="shared" si="7"/>
        <v>46203</v>
      </c>
      <c r="D47" s="6">
        <f>IFERROR((PPMT(المدخلات!$E$55/12,B47,$C$6,المدخلات!$E$54,-المدخلات!$E$65,0))," ")</f>
        <v>-3407.3854157723931</v>
      </c>
      <c r="E47" s="6">
        <f>IFERROR(((IPMT(المدخلات!$E$55/12,B47,$C$6,المدخلات!$E$54,-المدخلات!$E$65,0)))," ")</f>
        <v>-6910.1495863977079</v>
      </c>
      <c r="F47" s="6">
        <f t="shared" si="9"/>
        <v>-95738.384747181248</v>
      </c>
      <c r="G47" s="6">
        <f t="shared" si="8"/>
        <v>-213787.66531792178</v>
      </c>
      <c r="H47" s="6">
        <f t="shared" si="4"/>
        <v>-10317.535002170102</v>
      </c>
      <c r="I47" s="6">
        <f t="shared" si="5"/>
        <v>1504261.6152528187</v>
      </c>
      <c r="J47" s="6" t="str">
        <f>IF(B47&lt;&gt;"",IF(AND(المدخلات!$H$54="سنوي",MOD(B47,12)=0),المدخلات!$J$54,IF(AND(المدخلات!$H$54="القسط (الدفعة) الاول",B47=1),المدخلات!$J$54,IF(المدخلات!$H$54="شهري",المدخلات!$J$54,""))),"")</f>
        <v/>
      </c>
      <c r="K47" s="6" t="str">
        <f>IF(B47&lt;&gt;"",IF(AND(المدخلات!$H$55="سنوي",MOD(B47,12)=0),المدخلات!$J$55,IF(AND(المدخلات!$H$55="القسط (الدفعة) الاول",B47=1),المدخلات!$J$55,IF(المدخلات!$H$55="شهري",المدخلات!$J$55,""))),"")</f>
        <v/>
      </c>
      <c r="L47" s="6">
        <f>IF(B47&lt;&gt;"",IF(AND(المدخلات!$H$56="سنوي",MOD(B47,12)=0),المدخلات!$J$56,IF(AND(المدخلات!$H$56="القسط (الدفعة) الاول",B47=1),المدخلات!$J$56,IF(المدخلات!$H$56="شهري",المدخلات!$J$56,""))),"")</f>
        <v>208.33333333333334</v>
      </c>
      <c r="M47" s="6" t="str">
        <f>IF(B47&lt;&gt;"",IF(AND(المدخلات!$H$57="سنوي",MOD(B47,12)=0),المدخلات!$J$57,IF(AND(المدخلات!$H$57="القسط (الدفعة) الاول",B47=1),المدخلات!$J$57,IF(المدخلات!$H$57="شهري",المدخلات!$J$57,""))),"")</f>
        <v/>
      </c>
      <c r="N47" s="6" t="str">
        <f>IF(B47&lt;&gt;"",IF(AND(المدخلات!$H$58="سنوي",MOD(B47,12)=0),المدخلات!$J$58,IF(AND(المدخلات!$H$58="القسط (الدفعة) الاول",B47=1),المدخلات!$J$58,IF(المدخلات!$H$58="شهري",المدخلات!$J$58,IF(AND(المدخلات!$H$58="End of the loan",B47=المدخلات!$E$58),المدخلات!$J$58,"")))),"")</f>
        <v/>
      </c>
      <c r="O47" s="6">
        <f t="shared" si="0"/>
        <v>208.33333333333334</v>
      </c>
      <c r="P47" s="4">
        <f t="shared" si="1"/>
        <v>10525.868335503435</v>
      </c>
      <c r="T47" s="9">
        <f t="shared" si="2"/>
        <v>46203</v>
      </c>
      <c r="U47" s="5">
        <f t="shared" si="3"/>
        <v>10525.87</v>
      </c>
    </row>
    <row r="48" spans="2:21" x14ac:dyDescent="0.2">
      <c r="B48" s="16">
        <f t="shared" si="6"/>
        <v>31</v>
      </c>
      <c r="C48" s="9">
        <f t="shared" si="7"/>
        <v>46233</v>
      </c>
      <c r="D48" s="6">
        <f>IFERROR((PPMT(المدخلات!$E$55/12,B48,$C$6,المدخلات!$E$54,-المدخلات!$E$65,0))," ")</f>
        <v>-3423.0025989280161</v>
      </c>
      <c r="E48" s="6">
        <f>IFERROR(((IPMT(المدخلات!$E$55/12,B48,$C$6,المدخلات!$E$54,-المدخلات!$E$65,0)))," ")</f>
        <v>-6894.5324032420849</v>
      </c>
      <c r="F48" s="6">
        <f t="shared" si="9"/>
        <v>-99161.387346109259</v>
      </c>
      <c r="G48" s="6">
        <f t="shared" si="8"/>
        <v>-220682.19772116386</v>
      </c>
      <c r="H48" s="6">
        <f t="shared" si="4"/>
        <v>-10317.535002170102</v>
      </c>
      <c r="I48" s="6">
        <f t="shared" si="5"/>
        <v>1500838.6126538906</v>
      </c>
      <c r="J48" s="6" t="str">
        <f>IF(B48&lt;&gt;"",IF(AND(المدخلات!$H$54="سنوي",MOD(B48,12)=0),المدخلات!$J$54,IF(AND(المدخلات!$H$54="القسط (الدفعة) الاول",B48=1),المدخلات!$J$54,IF(المدخلات!$H$54="شهري",المدخلات!$J$54,""))),"")</f>
        <v/>
      </c>
      <c r="K48" s="6" t="str">
        <f>IF(B48&lt;&gt;"",IF(AND(المدخلات!$H$55="سنوي",MOD(B48,12)=0),المدخلات!$J$55,IF(AND(المدخلات!$H$55="القسط (الدفعة) الاول",B48=1),المدخلات!$J$55,IF(المدخلات!$H$55="شهري",المدخلات!$J$55,""))),"")</f>
        <v/>
      </c>
      <c r="L48" s="6">
        <f>IF(B48&lt;&gt;"",IF(AND(المدخلات!$H$56="سنوي",MOD(B48,12)=0),المدخلات!$J$56,IF(AND(المدخلات!$H$56="القسط (الدفعة) الاول",B48=1),المدخلات!$J$56,IF(المدخلات!$H$56="شهري",المدخلات!$J$56,""))),"")</f>
        <v>208.33333333333334</v>
      </c>
      <c r="M48" s="6" t="str">
        <f>IF(B48&lt;&gt;"",IF(AND(المدخلات!$H$57="سنوي",MOD(B48,12)=0),المدخلات!$J$57,IF(AND(المدخلات!$H$57="القسط (الدفعة) الاول",B48=1),المدخلات!$J$57,IF(المدخلات!$H$57="شهري",المدخلات!$J$57,""))),"")</f>
        <v/>
      </c>
      <c r="N48" s="6" t="str">
        <f>IF(B48&lt;&gt;"",IF(AND(المدخلات!$H$58="سنوي",MOD(B48,12)=0),المدخلات!$J$58,IF(AND(المدخلات!$H$58="القسط (الدفعة) الاول",B48=1),المدخلات!$J$58,IF(المدخلات!$H$58="شهري",المدخلات!$J$58,IF(AND(المدخلات!$H$58="End of the loan",B48=المدخلات!$E$58),المدخلات!$J$58,"")))),"")</f>
        <v/>
      </c>
      <c r="O48" s="6">
        <f t="shared" si="0"/>
        <v>208.33333333333334</v>
      </c>
      <c r="P48" s="4">
        <f t="shared" si="1"/>
        <v>10525.868335503435</v>
      </c>
      <c r="T48" s="9">
        <f t="shared" si="2"/>
        <v>46233</v>
      </c>
      <c r="U48" s="5">
        <f t="shared" si="3"/>
        <v>10525.87</v>
      </c>
    </row>
    <row r="49" spans="2:21" x14ac:dyDescent="0.2">
      <c r="B49" s="16">
        <f t="shared" si="6"/>
        <v>32</v>
      </c>
      <c r="C49" s="9">
        <f t="shared" si="7"/>
        <v>46264</v>
      </c>
      <c r="D49" s="6">
        <f>IFERROR((PPMT(المدخلات!$E$55/12,B49,$C$6,المدخلات!$E$54,-المدخلات!$E$65,0))," ")</f>
        <v>-3438.6913608397699</v>
      </c>
      <c r="E49" s="6">
        <f>IFERROR(((IPMT(المدخلات!$E$55/12,B49,$C$6,المدخلات!$E$54,-المدخلات!$E$65,0)))," ")</f>
        <v>-6878.8436413303307</v>
      </c>
      <c r="F49" s="6">
        <f t="shared" si="9"/>
        <v>-102600.07870694903</v>
      </c>
      <c r="G49" s="6">
        <f t="shared" si="8"/>
        <v>-227561.0413624942</v>
      </c>
      <c r="H49" s="6">
        <f t="shared" si="4"/>
        <v>-10317.535002170102</v>
      </c>
      <c r="I49" s="6">
        <f t="shared" si="5"/>
        <v>1497399.921293051</v>
      </c>
      <c r="J49" s="6" t="str">
        <f>IF(B49&lt;&gt;"",IF(AND(المدخلات!$H$54="سنوي",MOD(B49,12)=0),المدخلات!$J$54,IF(AND(المدخلات!$H$54="القسط (الدفعة) الاول",B49=1),المدخلات!$J$54,IF(المدخلات!$H$54="شهري",المدخلات!$J$54,""))),"")</f>
        <v/>
      </c>
      <c r="K49" s="6" t="str">
        <f>IF(B49&lt;&gt;"",IF(AND(المدخلات!$H$55="سنوي",MOD(B49,12)=0),المدخلات!$J$55,IF(AND(المدخلات!$H$55="القسط (الدفعة) الاول",B49=1),المدخلات!$J$55,IF(المدخلات!$H$55="شهري",المدخلات!$J$55,""))),"")</f>
        <v/>
      </c>
      <c r="L49" s="6">
        <f>IF(B49&lt;&gt;"",IF(AND(المدخلات!$H$56="سنوي",MOD(B49,12)=0),المدخلات!$J$56,IF(AND(المدخلات!$H$56="القسط (الدفعة) الاول",B49=1),المدخلات!$J$56,IF(المدخلات!$H$56="شهري",المدخلات!$J$56,""))),"")</f>
        <v>208.33333333333334</v>
      </c>
      <c r="M49" s="6" t="str">
        <f>IF(B49&lt;&gt;"",IF(AND(المدخلات!$H$57="سنوي",MOD(B49,12)=0),المدخلات!$J$57,IF(AND(المدخلات!$H$57="القسط (الدفعة) الاول",B49=1),المدخلات!$J$57,IF(المدخلات!$H$57="شهري",المدخلات!$J$57,""))),"")</f>
        <v/>
      </c>
      <c r="N49" s="6" t="str">
        <f>IF(B49&lt;&gt;"",IF(AND(المدخلات!$H$58="سنوي",MOD(B49,12)=0),المدخلات!$J$58,IF(AND(المدخلات!$H$58="القسط (الدفعة) الاول",B49=1),المدخلات!$J$58,IF(المدخلات!$H$58="شهري",المدخلات!$J$58,IF(AND(المدخلات!$H$58="End of the loan",B49=المدخلات!$E$58),المدخلات!$J$58,"")))),"")</f>
        <v/>
      </c>
      <c r="O49" s="6">
        <f t="shared" si="0"/>
        <v>208.33333333333334</v>
      </c>
      <c r="P49" s="4">
        <f t="shared" si="1"/>
        <v>10525.868335503435</v>
      </c>
      <c r="T49" s="9">
        <f t="shared" si="2"/>
        <v>46264</v>
      </c>
      <c r="U49" s="5">
        <f t="shared" si="3"/>
        <v>10525.87</v>
      </c>
    </row>
    <row r="50" spans="2:21" x14ac:dyDescent="0.2">
      <c r="B50" s="16">
        <f t="shared" si="6"/>
        <v>33</v>
      </c>
      <c r="C50" s="9">
        <f t="shared" si="7"/>
        <v>46295</v>
      </c>
      <c r="D50" s="6">
        <f>IFERROR((PPMT(المدخلات!$E$55/12,B50,$C$6,المدخلات!$E$54,-المدخلات!$E$65,0))," ")</f>
        <v>-3454.4520295769521</v>
      </c>
      <c r="E50" s="6">
        <f>IFERROR(((IPMT(المدخلات!$E$55/12,B50,$C$6,المدخلات!$E$54,-المدخلات!$E$65,0)))," ")</f>
        <v>-6863.082972593149</v>
      </c>
      <c r="F50" s="6">
        <f t="shared" si="9"/>
        <v>-106054.53073652598</v>
      </c>
      <c r="G50" s="6">
        <f t="shared" si="8"/>
        <v>-234424.12433508734</v>
      </c>
      <c r="H50" s="6">
        <f t="shared" si="4"/>
        <v>-10317.535002170102</v>
      </c>
      <c r="I50" s="6">
        <f t="shared" si="5"/>
        <v>1493945.469263474</v>
      </c>
      <c r="J50" s="6" t="str">
        <f>IF(B50&lt;&gt;"",IF(AND(المدخلات!$H$54="سنوي",MOD(B50,12)=0),المدخلات!$J$54,IF(AND(المدخلات!$H$54="القسط (الدفعة) الاول",B50=1),المدخلات!$J$54,IF(المدخلات!$H$54="شهري",المدخلات!$J$54,""))),"")</f>
        <v/>
      </c>
      <c r="K50" s="6" t="str">
        <f>IF(B50&lt;&gt;"",IF(AND(المدخلات!$H$55="سنوي",MOD(B50,12)=0),المدخلات!$J$55,IF(AND(المدخلات!$H$55="القسط (الدفعة) الاول",B50=1),المدخلات!$J$55,IF(المدخلات!$H$55="شهري",المدخلات!$J$55,""))),"")</f>
        <v/>
      </c>
      <c r="L50" s="6">
        <f>IF(B50&lt;&gt;"",IF(AND(المدخلات!$H$56="سنوي",MOD(B50,12)=0),المدخلات!$J$56,IF(AND(المدخلات!$H$56="القسط (الدفعة) الاول",B50=1),المدخلات!$J$56,IF(المدخلات!$H$56="شهري",المدخلات!$J$56,""))),"")</f>
        <v>208.33333333333334</v>
      </c>
      <c r="M50" s="6" t="str">
        <f>IF(B50&lt;&gt;"",IF(AND(المدخلات!$H$57="سنوي",MOD(B50,12)=0),المدخلات!$J$57,IF(AND(المدخلات!$H$57="القسط (الدفعة) الاول",B50=1),المدخلات!$J$57,IF(المدخلات!$H$57="شهري",المدخلات!$J$57,""))),"")</f>
        <v/>
      </c>
      <c r="N50" s="6" t="str">
        <f>IF(B50&lt;&gt;"",IF(AND(المدخلات!$H$58="سنوي",MOD(B50,12)=0),المدخلات!$J$58,IF(AND(المدخلات!$H$58="القسط (الدفعة) الاول",B50=1),المدخلات!$J$58,IF(المدخلات!$H$58="شهري",المدخلات!$J$58,IF(AND(المدخلات!$H$58="End of the loan",B50=المدخلات!$E$58),المدخلات!$J$58,"")))),"")</f>
        <v/>
      </c>
      <c r="O50" s="6">
        <f t="shared" si="0"/>
        <v>208.33333333333334</v>
      </c>
      <c r="P50" s="4">
        <f t="shared" si="1"/>
        <v>10525.868335503435</v>
      </c>
      <c r="T50" s="9">
        <f t="shared" si="2"/>
        <v>46295</v>
      </c>
      <c r="U50" s="5">
        <f t="shared" si="3"/>
        <v>10525.87</v>
      </c>
    </row>
    <row r="51" spans="2:21" x14ac:dyDescent="0.2">
      <c r="B51" s="16">
        <f t="shared" si="6"/>
        <v>34</v>
      </c>
      <c r="C51" s="9">
        <f t="shared" si="7"/>
        <v>46325</v>
      </c>
      <c r="D51" s="6">
        <f>IFERROR((PPMT(المدخلات!$E$55/12,B51,$C$6,المدخلات!$E$54,-المدخلات!$E$65,0))," ")</f>
        <v>-3470.2849347125129</v>
      </c>
      <c r="E51" s="6">
        <f>IFERROR(((IPMT(المدخلات!$E$55/12,B51,$C$6,المدخلات!$E$54,-المدخلات!$E$65,0)))," ")</f>
        <v>-6847.2500674575876</v>
      </c>
      <c r="F51" s="6">
        <f t="shared" si="9"/>
        <v>-109524.8156712385</v>
      </c>
      <c r="G51" s="6">
        <f t="shared" si="8"/>
        <v>-241271.37440254493</v>
      </c>
      <c r="H51" s="6">
        <f t="shared" si="4"/>
        <v>-10317.535002170102</v>
      </c>
      <c r="I51" s="6">
        <f t="shared" si="5"/>
        <v>1490475.1843287614</v>
      </c>
      <c r="J51" s="6" t="str">
        <f>IF(B51&lt;&gt;"",IF(AND(المدخلات!$H$54="سنوي",MOD(B51,12)=0),المدخلات!$J$54,IF(AND(المدخلات!$H$54="القسط (الدفعة) الاول",B51=1),المدخلات!$J$54,IF(المدخلات!$H$54="شهري",المدخلات!$J$54,""))),"")</f>
        <v/>
      </c>
      <c r="K51" s="6" t="str">
        <f>IF(B51&lt;&gt;"",IF(AND(المدخلات!$H$55="سنوي",MOD(B51,12)=0),المدخلات!$J$55,IF(AND(المدخلات!$H$55="القسط (الدفعة) الاول",B51=1),المدخلات!$J$55,IF(المدخلات!$H$55="شهري",المدخلات!$J$55,""))),"")</f>
        <v/>
      </c>
      <c r="L51" s="6">
        <f>IF(B51&lt;&gt;"",IF(AND(المدخلات!$H$56="سنوي",MOD(B51,12)=0),المدخلات!$J$56,IF(AND(المدخلات!$H$56="القسط (الدفعة) الاول",B51=1),المدخلات!$J$56,IF(المدخلات!$H$56="شهري",المدخلات!$J$56,""))),"")</f>
        <v>208.33333333333334</v>
      </c>
      <c r="M51" s="6" t="str">
        <f>IF(B51&lt;&gt;"",IF(AND(المدخلات!$H$57="سنوي",MOD(B51,12)=0),المدخلات!$J$57,IF(AND(المدخلات!$H$57="القسط (الدفعة) الاول",B51=1),المدخلات!$J$57,IF(المدخلات!$H$57="شهري",المدخلات!$J$57,""))),"")</f>
        <v/>
      </c>
      <c r="N51" s="6" t="str">
        <f>IF(B51&lt;&gt;"",IF(AND(المدخلات!$H$58="سنوي",MOD(B51,12)=0),المدخلات!$J$58,IF(AND(المدخلات!$H$58="القسط (الدفعة) الاول",B51=1),المدخلات!$J$58,IF(المدخلات!$H$58="شهري",المدخلات!$J$58,IF(AND(المدخلات!$H$58="End of the loan",B51=المدخلات!$E$58),المدخلات!$J$58,"")))),"")</f>
        <v/>
      </c>
      <c r="O51" s="6">
        <f t="shared" si="0"/>
        <v>208.33333333333334</v>
      </c>
      <c r="P51" s="4">
        <f t="shared" si="1"/>
        <v>10525.868335503435</v>
      </c>
      <c r="T51" s="9">
        <f t="shared" si="2"/>
        <v>46325</v>
      </c>
      <c r="U51" s="5">
        <f t="shared" si="3"/>
        <v>10525.87</v>
      </c>
    </row>
    <row r="52" spans="2:21" x14ac:dyDescent="0.2">
      <c r="B52" s="16">
        <f t="shared" si="6"/>
        <v>35</v>
      </c>
      <c r="C52" s="9">
        <f t="shared" si="7"/>
        <v>46356</v>
      </c>
      <c r="D52" s="6">
        <f>IFERROR((PPMT(المدخلات!$E$55/12,B52,$C$6,المدخلات!$E$54,-المدخلات!$E$65,0))," ")</f>
        <v>-3486.1904073299456</v>
      </c>
      <c r="E52" s="6">
        <f>IFERROR(((IPMT(المدخلات!$E$55/12,B52,$C$6,المدخلات!$E$54,-المدخلات!$E$65,0)))," ")</f>
        <v>-6831.3445948401559</v>
      </c>
      <c r="F52" s="6">
        <f t="shared" si="9"/>
        <v>-113011.00607856845</v>
      </c>
      <c r="G52" s="6">
        <f t="shared" si="8"/>
        <v>-248102.71899738509</v>
      </c>
      <c r="H52" s="6">
        <f t="shared" si="4"/>
        <v>-10317.535002170102</v>
      </c>
      <c r="I52" s="6">
        <f t="shared" si="5"/>
        <v>1486988.9939214315</v>
      </c>
      <c r="J52" s="6" t="str">
        <f>IF(B52&lt;&gt;"",IF(AND(المدخلات!$H$54="سنوي",MOD(B52,12)=0),المدخلات!$J$54,IF(AND(المدخلات!$H$54="القسط (الدفعة) الاول",B52=1),المدخلات!$J$54,IF(المدخلات!$H$54="شهري",المدخلات!$J$54,""))),"")</f>
        <v/>
      </c>
      <c r="K52" s="6" t="str">
        <f>IF(B52&lt;&gt;"",IF(AND(المدخلات!$H$55="سنوي",MOD(B52,12)=0),المدخلات!$J$55,IF(AND(المدخلات!$H$55="القسط (الدفعة) الاول",B52=1),المدخلات!$J$55,IF(المدخلات!$H$55="شهري",المدخلات!$J$55,""))),"")</f>
        <v/>
      </c>
      <c r="L52" s="6">
        <f>IF(B52&lt;&gt;"",IF(AND(المدخلات!$H$56="سنوي",MOD(B52,12)=0),المدخلات!$J$56,IF(AND(المدخلات!$H$56="القسط (الدفعة) الاول",B52=1),المدخلات!$J$56,IF(المدخلات!$H$56="شهري",المدخلات!$J$56,""))),"")</f>
        <v>208.33333333333334</v>
      </c>
      <c r="M52" s="6" t="str">
        <f>IF(B52&lt;&gt;"",IF(AND(المدخلات!$H$57="سنوي",MOD(B52,12)=0),المدخلات!$J$57,IF(AND(المدخلات!$H$57="القسط (الدفعة) الاول",B52=1),المدخلات!$J$57,IF(المدخلات!$H$57="شهري",المدخلات!$J$57,""))),"")</f>
        <v/>
      </c>
      <c r="N52" s="6" t="str">
        <f>IF(B52&lt;&gt;"",IF(AND(المدخلات!$H$58="سنوي",MOD(B52,12)=0),المدخلات!$J$58,IF(AND(المدخلات!$H$58="القسط (الدفعة) الاول",B52=1),المدخلات!$J$58,IF(المدخلات!$H$58="شهري",المدخلات!$J$58,IF(AND(المدخلات!$H$58="End of the loan",B52=المدخلات!$E$58),المدخلات!$J$58,"")))),"")</f>
        <v/>
      </c>
      <c r="O52" s="6">
        <f t="shared" si="0"/>
        <v>208.33333333333334</v>
      </c>
      <c r="P52" s="4">
        <f t="shared" si="1"/>
        <v>10525.868335503435</v>
      </c>
      <c r="T52" s="9">
        <f t="shared" si="2"/>
        <v>46356</v>
      </c>
      <c r="U52" s="5">
        <f t="shared" si="3"/>
        <v>10525.87</v>
      </c>
    </row>
    <row r="53" spans="2:21" x14ac:dyDescent="0.2">
      <c r="B53" s="16">
        <f t="shared" si="6"/>
        <v>36</v>
      </c>
      <c r="C53" s="9">
        <f t="shared" si="7"/>
        <v>46386</v>
      </c>
      <c r="D53" s="6">
        <f>IFERROR((PPMT(المدخلات!$E$55/12,B53,$C$6,المدخلات!$E$54,-المدخلات!$E$65,0))," ")</f>
        <v>-3502.1687800302075</v>
      </c>
      <c r="E53" s="6">
        <f>IFERROR(((IPMT(المدخلات!$E$55/12,B53,$C$6,المدخلات!$E$54,-المدخلات!$E$65,0)))," ")</f>
        <v>-6815.3662221398936</v>
      </c>
      <c r="F53" s="6">
        <f t="shared" si="9"/>
        <v>-116513.17485859865</v>
      </c>
      <c r="G53" s="6">
        <f t="shared" si="8"/>
        <v>-254918.08521952498</v>
      </c>
      <c r="H53" s="6">
        <f t="shared" si="4"/>
        <v>-10317.535002170102</v>
      </c>
      <c r="I53" s="6">
        <f t="shared" si="5"/>
        <v>1483486.8251414013</v>
      </c>
      <c r="J53" s="6" t="str">
        <f>IF(B53&lt;&gt;"",IF(AND(المدخلات!$H$54="سنوي",MOD(B53,12)=0),المدخلات!$J$54,IF(AND(المدخلات!$H$54="القسط (الدفعة) الاول",B53=1),المدخلات!$J$54,IF(المدخلات!$H$54="شهري",المدخلات!$J$54,""))),"")</f>
        <v/>
      </c>
      <c r="K53" s="6" t="str">
        <f>IF(B53&lt;&gt;"",IF(AND(المدخلات!$H$55="سنوي",MOD(B53,12)=0),المدخلات!$J$55,IF(AND(المدخلات!$H$55="القسط (الدفعة) الاول",B53=1),المدخلات!$J$55,IF(المدخلات!$H$55="شهري",المدخلات!$J$55,""))),"")</f>
        <v/>
      </c>
      <c r="L53" s="6">
        <f>IF(B53&lt;&gt;"",IF(AND(المدخلات!$H$56="سنوي",MOD(B53,12)=0),المدخلات!$J$56,IF(AND(المدخلات!$H$56="القسط (الدفعة) الاول",B53=1),المدخلات!$J$56,IF(المدخلات!$H$56="شهري",المدخلات!$J$56,""))),"")</f>
        <v>208.33333333333334</v>
      </c>
      <c r="M53" s="6" t="str">
        <f>IF(B53&lt;&gt;"",IF(AND(المدخلات!$H$57="سنوي",MOD(B53,12)=0),المدخلات!$J$57,IF(AND(المدخلات!$H$57="القسط (الدفعة) الاول",B53=1),المدخلات!$J$57,IF(المدخلات!$H$57="شهري",المدخلات!$J$57,""))),"")</f>
        <v/>
      </c>
      <c r="N53" s="6">
        <f>IF(B53&lt;&gt;"",IF(AND(المدخلات!$H$58="سنوي",MOD(B53,12)=0),المدخلات!$J$58,IF(AND(المدخلات!$H$58="القسط (الدفعة) الاول",B53=1),المدخلات!$J$58,IF(المدخلات!$H$58="شهري",المدخلات!$J$58,IF(AND(المدخلات!$H$58="End of the loan",B53=المدخلات!$E$58),المدخلات!$J$58,"")))),"")</f>
        <v>0</v>
      </c>
      <c r="O53" s="6">
        <f t="shared" si="0"/>
        <v>208.33333333333334</v>
      </c>
      <c r="P53" s="4">
        <f t="shared" si="1"/>
        <v>10525.868335503435</v>
      </c>
      <c r="T53" s="9">
        <f t="shared" si="2"/>
        <v>46386</v>
      </c>
      <c r="U53" s="5">
        <f t="shared" si="3"/>
        <v>10525.87</v>
      </c>
    </row>
    <row r="54" spans="2:21" x14ac:dyDescent="0.2">
      <c r="B54" s="16">
        <f t="shared" si="6"/>
        <v>37</v>
      </c>
      <c r="C54" s="9">
        <f t="shared" si="7"/>
        <v>46417</v>
      </c>
      <c r="D54" s="6">
        <f>IFERROR((PPMT(المدخلات!$E$55/12,B54,$C$6,المدخلات!$E$54,-المدخلات!$E$65,0))," ")</f>
        <v>-3518.2203869386794</v>
      </c>
      <c r="E54" s="6">
        <f>IFERROR(((IPMT(المدخلات!$E$55/12,B54,$C$6,المدخلات!$E$54,-المدخلات!$E$65,0)))," ")</f>
        <v>-6799.3146152314221</v>
      </c>
      <c r="F54" s="6">
        <f t="shared" si="9"/>
        <v>-120031.39524553734</v>
      </c>
      <c r="G54" s="6">
        <f t="shared" si="8"/>
        <v>-261717.39983475639</v>
      </c>
      <c r="H54" s="6">
        <f t="shared" si="4"/>
        <v>-10317.535002170102</v>
      </c>
      <c r="I54" s="6">
        <f t="shared" si="5"/>
        <v>1479968.6047544626</v>
      </c>
      <c r="J54" s="6" t="str">
        <f>IF(B54&lt;&gt;"",IF(AND(المدخلات!$H$54="سنوي",MOD(B54,12)=0),المدخلات!$J$54,IF(AND(المدخلات!$H$54="القسط (الدفعة) الاول",B54=1),المدخلات!$J$54,IF(المدخلات!$H$54="شهري",المدخلات!$J$54,""))),"")</f>
        <v/>
      </c>
      <c r="K54" s="6" t="str">
        <f>IF(B54&lt;&gt;"",IF(AND(المدخلات!$H$55="سنوي",MOD(B54,12)=0),المدخلات!$J$55,IF(AND(المدخلات!$H$55="القسط (الدفعة) الاول",B54=1),المدخلات!$J$55,IF(المدخلات!$H$55="شهري",المدخلات!$J$55,""))),"")</f>
        <v/>
      </c>
      <c r="L54" s="6">
        <f>IF(B54&lt;&gt;"",IF(AND(المدخلات!$H$56="سنوي",MOD(B54,12)=0),المدخلات!$J$56,IF(AND(المدخلات!$H$56="القسط (الدفعة) الاول",B54=1),المدخلات!$J$56,IF(المدخلات!$H$56="شهري",المدخلات!$J$56,""))),"")</f>
        <v>208.33333333333334</v>
      </c>
      <c r="M54" s="6" t="str">
        <f>IF(B54&lt;&gt;"",IF(AND(المدخلات!$H$57="سنوي",MOD(B54,12)=0),المدخلات!$J$57,IF(AND(المدخلات!$H$57="القسط (الدفعة) الاول",B54=1),المدخلات!$J$57,IF(المدخلات!$H$57="شهري",المدخلات!$J$57,""))),"")</f>
        <v/>
      </c>
      <c r="N54" s="6" t="str">
        <f>IF(B54&lt;&gt;"",IF(AND(المدخلات!$H$58="سنوي",MOD(B54,12)=0),المدخلات!$J$58,IF(AND(المدخلات!$H$58="القسط (الدفعة) الاول",B54=1),المدخلات!$J$58,IF(المدخلات!$H$58="شهري",المدخلات!$J$58,IF(AND(المدخلات!$H$58="End of the loan",B54=المدخلات!$E$58),المدخلات!$J$58,"")))),"")</f>
        <v/>
      </c>
      <c r="O54" s="6">
        <f t="shared" si="0"/>
        <v>208.33333333333334</v>
      </c>
      <c r="P54" s="4">
        <f t="shared" si="1"/>
        <v>10525.868335503435</v>
      </c>
      <c r="T54" s="9">
        <f t="shared" si="2"/>
        <v>46417</v>
      </c>
      <c r="U54" s="5">
        <f t="shared" si="3"/>
        <v>10525.87</v>
      </c>
    </row>
    <row r="55" spans="2:21" x14ac:dyDescent="0.2">
      <c r="B55" s="16">
        <f t="shared" si="6"/>
        <v>38</v>
      </c>
      <c r="C55" s="9">
        <f t="shared" si="7"/>
        <v>46446</v>
      </c>
      <c r="D55" s="6">
        <f>IFERROR((PPMT(المدخلات!$E$55/12,B55,$C$6,المدخلات!$E$54,-المدخلات!$E$65,0))," ")</f>
        <v>-3534.3455637121483</v>
      </c>
      <c r="E55" s="6">
        <f>IFERROR(((IPMT(المدخلات!$E$55/12,B55,$C$6,المدخلات!$E$54,-المدخلات!$E$65,0)))," ")</f>
        <v>-6783.1894384579527</v>
      </c>
      <c r="F55" s="6">
        <f t="shared" si="9"/>
        <v>-123565.74080924949</v>
      </c>
      <c r="G55" s="6">
        <f t="shared" si="8"/>
        <v>-268500.58927321434</v>
      </c>
      <c r="H55" s="6">
        <f t="shared" si="4"/>
        <v>-10317.535002170102</v>
      </c>
      <c r="I55" s="6">
        <f t="shared" si="5"/>
        <v>1476434.2591907505</v>
      </c>
      <c r="J55" s="6" t="str">
        <f>IF(B55&lt;&gt;"",IF(AND(المدخلات!$H$54="سنوي",MOD(B55,12)=0),المدخلات!$J$54,IF(AND(المدخلات!$H$54="القسط (الدفعة) الاول",B55=1),المدخلات!$J$54,IF(المدخلات!$H$54="شهري",المدخلات!$J$54,""))),"")</f>
        <v/>
      </c>
      <c r="K55" s="6" t="str">
        <f>IF(B55&lt;&gt;"",IF(AND(المدخلات!$H$55="سنوي",MOD(B55,12)=0),المدخلات!$J$55,IF(AND(المدخلات!$H$55="القسط (الدفعة) الاول",B55=1),المدخلات!$J$55,IF(المدخلات!$H$55="شهري",المدخلات!$J$55,""))),"")</f>
        <v/>
      </c>
      <c r="L55" s="6">
        <f>IF(B55&lt;&gt;"",IF(AND(المدخلات!$H$56="سنوي",MOD(B55,12)=0),المدخلات!$J$56,IF(AND(المدخلات!$H$56="القسط (الدفعة) الاول",B55=1),المدخلات!$J$56,IF(المدخلات!$H$56="شهري",المدخلات!$J$56,""))),"")</f>
        <v>208.33333333333334</v>
      </c>
      <c r="M55" s="6" t="str">
        <f>IF(B55&lt;&gt;"",IF(AND(المدخلات!$H$57="سنوي",MOD(B55,12)=0),المدخلات!$J$57,IF(AND(المدخلات!$H$57="القسط (الدفعة) الاول",B55=1),المدخلات!$J$57,IF(المدخلات!$H$57="شهري",المدخلات!$J$57,""))),"")</f>
        <v/>
      </c>
      <c r="N55" s="6" t="str">
        <f>IF(B55&lt;&gt;"",IF(AND(المدخلات!$H$58="سنوي",MOD(B55,12)=0),المدخلات!$J$58,IF(AND(المدخلات!$H$58="القسط (الدفعة) الاول",B55=1),المدخلات!$J$58,IF(المدخلات!$H$58="شهري",المدخلات!$J$58,IF(AND(المدخلات!$H$58="End of the loan",B55=المدخلات!$E$58),المدخلات!$J$58,"")))),"")</f>
        <v/>
      </c>
      <c r="O55" s="6">
        <f t="shared" si="0"/>
        <v>208.33333333333334</v>
      </c>
      <c r="P55" s="4">
        <f t="shared" si="1"/>
        <v>10525.868335503435</v>
      </c>
      <c r="T55" s="9">
        <f t="shared" si="2"/>
        <v>46446</v>
      </c>
      <c r="U55" s="5">
        <f t="shared" si="3"/>
        <v>10525.87</v>
      </c>
    </row>
    <row r="56" spans="2:21" x14ac:dyDescent="0.2">
      <c r="B56" s="16">
        <f t="shared" si="6"/>
        <v>39</v>
      </c>
      <c r="C56" s="9">
        <f t="shared" si="7"/>
        <v>46476</v>
      </c>
      <c r="D56" s="6">
        <f>IFERROR((PPMT(المدخلات!$E$55/12,B56,$C$6,المدخلات!$E$54,-المدخلات!$E$65,0))," ")</f>
        <v>-3550.5446475458293</v>
      </c>
      <c r="E56" s="6">
        <f>IFERROR(((IPMT(المدخلات!$E$55/12,B56,$C$6,المدخلات!$E$54,-المدخلات!$E$65,0)))," ")</f>
        <v>-6766.9903546242722</v>
      </c>
      <c r="F56" s="6">
        <f t="shared" si="9"/>
        <v>-127116.28545679532</v>
      </c>
      <c r="G56" s="6">
        <f t="shared" si="8"/>
        <v>-275267.57962783863</v>
      </c>
      <c r="H56" s="6">
        <f t="shared" si="4"/>
        <v>-10317.535002170102</v>
      </c>
      <c r="I56" s="6">
        <f t="shared" si="5"/>
        <v>1472883.7145432048</v>
      </c>
      <c r="J56" s="6" t="str">
        <f>IF(B56&lt;&gt;"",IF(AND(المدخلات!$H$54="سنوي",MOD(B56,12)=0),المدخلات!$J$54,IF(AND(المدخلات!$H$54="القسط (الدفعة) الاول",B56=1),المدخلات!$J$54,IF(المدخلات!$H$54="شهري",المدخلات!$J$54,""))),"")</f>
        <v/>
      </c>
      <c r="K56" s="6" t="str">
        <f>IF(B56&lt;&gt;"",IF(AND(المدخلات!$H$55="سنوي",MOD(B56,12)=0),المدخلات!$J$55,IF(AND(المدخلات!$H$55="القسط (الدفعة) الاول",B56=1),المدخلات!$J$55,IF(المدخلات!$H$55="شهري",المدخلات!$J$55,""))),"")</f>
        <v/>
      </c>
      <c r="L56" s="6">
        <f>IF(B56&lt;&gt;"",IF(AND(المدخلات!$H$56="سنوي",MOD(B56,12)=0),المدخلات!$J$56,IF(AND(المدخلات!$H$56="القسط (الدفعة) الاول",B56=1),المدخلات!$J$56,IF(المدخلات!$H$56="شهري",المدخلات!$J$56,""))),"")</f>
        <v>208.33333333333334</v>
      </c>
      <c r="M56" s="6" t="str">
        <f>IF(B56&lt;&gt;"",IF(AND(المدخلات!$H$57="سنوي",MOD(B56,12)=0),المدخلات!$J$57,IF(AND(المدخلات!$H$57="القسط (الدفعة) الاول",B56=1),المدخلات!$J$57,IF(المدخلات!$H$57="شهري",المدخلات!$J$57,""))),"")</f>
        <v/>
      </c>
      <c r="N56" s="6" t="str">
        <f>IF(B56&lt;&gt;"",IF(AND(المدخلات!$H$58="سنوي",MOD(B56,12)=0),المدخلات!$J$58,IF(AND(المدخلات!$H$58="القسط (الدفعة) الاول",B56=1),المدخلات!$J$58,IF(المدخلات!$H$58="شهري",المدخلات!$J$58,IF(AND(المدخلات!$H$58="End of the loan",B56=المدخلات!$E$58),المدخلات!$J$58,"")))),"")</f>
        <v/>
      </c>
      <c r="O56" s="6">
        <f t="shared" si="0"/>
        <v>208.33333333333334</v>
      </c>
      <c r="P56" s="4">
        <f t="shared" si="1"/>
        <v>10525.868335503435</v>
      </c>
      <c r="T56" s="9">
        <f t="shared" si="2"/>
        <v>46476</v>
      </c>
      <c r="U56" s="5">
        <f t="shared" si="3"/>
        <v>10525.87</v>
      </c>
    </row>
    <row r="57" spans="2:21" x14ac:dyDescent="0.2">
      <c r="B57" s="16">
        <f t="shared" si="6"/>
        <v>40</v>
      </c>
      <c r="C57" s="9">
        <f t="shared" si="7"/>
        <v>46507</v>
      </c>
      <c r="D57" s="6">
        <f>IFERROR((PPMT(المدخلات!$E$55/12,B57,$C$6,المدخلات!$E$54,-المدخلات!$E$65,0))," ")</f>
        <v>-3566.8179771804143</v>
      </c>
      <c r="E57" s="6">
        <f>IFERROR(((IPMT(المدخلات!$E$55/12,B57,$C$6,المدخلات!$E$54,-المدخلات!$E$65,0)))," ")</f>
        <v>-6750.7170249896863</v>
      </c>
      <c r="F57" s="6">
        <f t="shared" si="9"/>
        <v>-130683.10343397573</v>
      </c>
      <c r="G57" s="6">
        <f t="shared" si="8"/>
        <v>-282018.29665282829</v>
      </c>
      <c r="H57" s="6">
        <f t="shared" si="4"/>
        <v>-10317.535002170102</v>
      </c>
      <c r="I57" s="6">
        <f t="shared" si="5"/>
        <v>1469316.8965660243</v>
      </c>
      <c r="J57" s="6" t="str">
        <f>IF(B57&lt;&gt;"",IF(AND(المدخلات!$H$54="سنوي",MOD(B57,12)=0),المدخلات!$J$54,IF(AND(المدخلات!$H$54="القسط (الدفعة) الاول",B57=1),المدخلات!$J$54,IF(المدخلات!$H$54="شهري",المدخلات!$J$54,""))),"")</f>
        <v/>
      </c>
      <c r="K57" s="6" t="str">
        <f>IF(B57&lt;&gt;"",IF(AND(المدخلات!$H$55="سنوي",MOD(B57,12)=0),المدخلات!$J$55,IF(AND(المدخلات!$H$55="القسط (الدفعة) الاول",B57=1),المدخلات!$J$55,IF(المدخلات!$H$55="شهري",المدخلات!$J$55,""))),"")</f>
        <v/>
      </c>
      <c r="L57" s="6">
        <f>IF(B57&lt;&gt;"",IF(AND(المدخلات!$H$56="سنوي",MOD(B57,12)=0),المدخلات!$J$56,IF(AND(المدخلات!$H$56="القسط (الدفعة) الاول",B57=1),المدخلات!$J$56,IF(المدخلات!$H$56="شهري",المدخلات!$J$56,""))),"")</f>
        <v>208.33333333333334</v>
      </c>
      <c r="M57" s="6" t="str">
        <f>IF(B57&lt;&gt;"",IF(AND(المدخلات!$H$57="سنوي",MOD(B57,12)=0),المدخلات!$J$57,IF(AND(المدخلات!$H$57="القسط (الدفعة) الاول",B57=1),المدخلات!$J$57,IF(المدخلات!$H$57="شهري",المدخلات!$J$57,""))),"")</f>
        <v/>
      </c>
      <c r="N57" s="6" t="str">
        <f>IF(B57&lt;&gt;"",IF(AND(المدخلات!$H$58="سنوي",MOD(B57,12)=0),المدخلات!$J$58,IF(AND(المدخلات!$H$58="القسط (الدفعة) الاول",B57=1),المدخلات!$J$58,IF(المدخلات!$H$58="شهري",المدخلات!$J$58,IF(AND(المدخلات!$H$58="End of the loan",B57=المدخلات!$E$58),المدخلات!$J$58,"")))),"")</f>
        <v/>
      </c>
      <c r="O57" s="6">
        <f t="shared" si="0"/>
        <v>208.33333333333334</v>
      </c>
      <c r="P57" s="4">
        <f t="shared" si="1"/>
        <v>10525.868335503435</v>
      </c>
      <c r="T57" s="9">
        <f t="shared" si="2"/>
        <v>46507</v>
      </c>
      <c r="U57" s="5">
        <f t="shared" si="3"/>
        <v>10525.87</v>
      </c>
    </row>
    <row r="58" spans="2:21" x14ac:dyDescent="0.2">
      <c r="B58" s="16">
        <f t="shared" si="6"/>
        <v>41</v>
      </c>
      <c r="C58" s="9">
        <f t="shared" si="7"/>
        <v>46537</v>
      </c>
      <c r="D58" s="6">
        <f>IFERROR((PPMT(المدخلات!$E$55/12,B58,$C$6,المدخلات!$E$54,-المدخلات!$E$65,0))," ")</f>
        <v>-3583.1658929091577</v>
      </c>
      <c r="E58" s="6">
        <f>IFERROR(((IPMT(المدخلات!$E$55/12,B58,$C$6,المدخلات!$E$54,-المدخلات!$E$65,0)))," ")</f>
        <v>-6734.3691092609433</v>
      </c>
      <c r="F58" s="6">
        <f t="shared" si="9"/>
        <v>-134266.26932688488</v>
      </c>
      <c r="G58" s="6">
        <f t="shared" si="8"/>
        <v>-288752.66576208925</v>
      </c>
      <c r="H58" s="6">
        <f t="shared" si="4"/>
        <v>-10317.535002170102</v>
      </c>
      <c r="I58" s="6">
        <f t="shared" si="5"/>
        <v>1465733.7306731152</v>
      </c>
      <c r="J58" s="6" t="str">
        <f>IF(B58&lt;&gt;"",IF(AND(المدخلات!$H$54="سنوي",MOD(B58,12)=0),المدخلات!$J$54,IF(AND(المدخلات!$H$54="القسط (الدفعة) الاول",B58=1),المدخلات!$J$54,IF(المدخلات!$H$54="شهري",المدخلات!$J$54,""))),"")</f>
        <v/>
      </c>
      <c r="K58" s="6" t="str">
        <f>IF(B58&lt;&gt;"",IF(AND(المدخلات!$H$55="سنوي",MOD(B58,12)=0),المدخلات!$J$55,IF(AND(المدخلات!$H$55="القسط (الدفعة) الاول",B58=1),المدخلات!$J$55,IF(المدخلات!$H$55="شهري",المدخلات!$J$55,""))),"")</f>
        <v/>
      </c>
      <c r="L58" s="6">
        <f>IF(B58&lt;&gt;"",IF(AND(المدخلات!$H$56="سنوي",MOD(B58,12)=0),المدخلات!$J$56,IF(AND(المدخلات!$H$56="القسط (الدفعة) الاول",B58=1),المدخلات!$J$56,IF(المدخلات!$H$56="شهري",المدخلات!$J$56,""))),"")</f>
        <v>208.33333333333334</v>
      </c>
      <c r="M58" s="6" t="str">
        <f>IF(B58&lt;&gt;"",IF(AND(المدخلات!$H$57="سنوي",MOD(B58,12)=0),المدخلات!$J$57,IF(AND(المدخلات!$H$57="القسط (الدفعة) الاول",B58=1),المدخلات!$J$57,IF(المدخلات!$H$57="شهري",المدخلات!$J$57,""))),"")</f>
        <v/>
      </c>
      <c r="N58" s="6" t="str">
        <f>IF(B58&lt;&gt;"",IF(AND(المدخلات!$H$58="سنوي",MOD(B58,12)=0),المدخلات!$J$58,IF(AND(المدخلات!$H$58="القسط (الدفعة) الاول",B58=1),المدخلات!$J$58,IF(المدخلات!$H$58="شهري",المدخلات!$J$58,IF(AND(المدخلات!$H$58="End of the loan",B58=المدخلات!$E$58),المدخلات!$J$58,"")))),"")</f>
        <v/>
      </c>
      <c r="O58" s="6">
        <f t="shared" si="0"/>
        <v>208.33333333333334</v>
      </c>
      <c r="P58" s="4">
        <f t="shared" si="1"/>
        <v>10525.868335503435</v>
      </c>
      <c r="T58" s="9">
        <f t="shared" si="2"/>
        <v>46537</v>
      </c>
      <c r="U58" s="5">
        <f t="shared" si="3"/>
        <v>10525.87</v>
      </c>
    </row>
    <row r="59" spans="2:21" x14ac:dyDescent="0.2">
      <c r="B59" s="16">
        <f t="shared" si="6"/>
        <v>42</v>
      </c>
      <c r="C59" s="9">
        <f t="shared" si="7"/>
        <v>46568</v>
      </c>
      <c r="D59" s="6">
        <f>IFERROR((PPMT(المدخلات!$E$55/12,B59,$C$6,المدخلات!$E$54,-المدخلات!$E$65,0))," ")</f>
        <v>-3599.5887365849917</v>
      </c>
      <c r="E59" s="6">
        <f>IFERROR(((IPMT(المدخلات!$E$55/12,B59,$C$6,المدخلات!$E$54,-المدخلات!$E$65,0)))," ")</f>
        <v>-6717.9462655851094</v>
      </c>
      <c r="F59" s="6">
        <f t="shared" si="9"/>
        <v>-137865.85806346987</v>
      </c>
      <c r="G59" s="6">
        <f t="shared" si="8"/>
        <v>-295470.61202767433</v>
      </c>
      <c r="H59" s="6">
        <f t="shared" si="4"/>
        <v>-10317.535002170102</v>
      </c>
      <c r="I59" s="6">
        <f t="shared" si="5"/>
        <v>1462134.1419365301</v>
      </c>
      <c r="J59" s="6" t="str">
        <f>IF(B59&lt;&gt;"",IF(AND(المدخلات!$H$54="سنوي",MOD(B59,12)=0),المدخلات!$J$54,IF(AND(المدخلات!$H$54="القسط (الدفعة) الاول",B59=1),المدخلات!$J$54,IF(المدخلات!$H$54="شهري",المدخلات!$J$54,""))),"")</f>
        <v/>
      </c>
      <c r="K59" s="6" t="str">
        <f>IF(B59&lt;&gt;"",IF(AND(المدخلات!$H$55="سنوي",MOD(B59,12)=0),المدخلات!$J$55,IF(AND(المدخلات!$H$55="القسط (الدفعة) الاول",B59=1),المدخلات!$J$55,IF(المدخلات!$H$55="شهري",المدخلات!$J$55,""))),"")</f>
        <v/>
      </c>
      <c r="L59" s="6">
        <f>IF(B59&lt;&gt;"",IF(AND(المدخلات!$H$56="سنوي",MOD(B59,12)=0),المدخلات!$J$56,IF(AND(المدخلات!$H$56="القسط (الدفعة) الاول",B59=1),المدخلات!$J$56,IF(المدخلات!$H$56="شهري",المدخلات!$J$56,""))),"")</f>
        <v>208.33333333333334</v>
      </c>
      <c r="M59" s="6" t="str">
        <f>IF(B59&lt;&gt;"",IF(AND(المدخلات!$H$57="سنوي",MOD(B59,12)=0),المدخلات!$J$57,IF(AND(المدخلات!$H$57="القسط (الدفعة) الاول",B59=1),المدخلات!$J$57,IF(المدخلات!$H$57="شهري",المدخلات!$J$57,""))),"")</f>
        <v/>
      </c>
      <c r="N59" s="6" t="str">
        <f>IF(B59&lt;&gt;"",IF(AND(المدخلات!$H$58="سنوي",MOD(B59,12)=0),المدخلات!$J$58,IF(AND(المدخلات!$H$58="القسط (الدفعة) الاول",B59=1),المدخلات!$J$58,IF(المدخلات!$H$58="شهري",المدخلات!$J$58,IF(AND(المدخلات!$H$58="End of the loan",B59=المدخلات!$E$58),المدخلات!$J$58,"")))),"")</f>
        <v/>
      </c>
      <c r="O59" s="6">
        <f t="shared" si="0"/>
        <v>208.33333333333334</v>
      </c>
      <c r="P59" s="4">
        <f t="shared" si="1"/>
        <v>10525.868335503435</v>
      </c>
      <c r="T59" s="9">
        <f t="shared" si="2"/>
        <v>46568</v>
      </c>
      <c r="U59" s="5">
        <f t="shared" si="3"/>
        <v>10525.87</v>
      </c>
    </row>
    <row r="60" spans="2:21" x14ac:dyDescent="0.2">
      <c r="B60" s="16">
        <f t="shared" si="6"/>
        <v>43</v>
      </c>
      <c r="C60" s="9">
        <f t="shared" si="7"/>
        <v>46598</v>
      </c>
      <c r="D60" s="6">
        <f>IFERROR((PPMT(المدخلات!$E$55/12,B60,$C$6,المدخلات!$E$54,-المدخلات!$E$65,0))," ")</f>
        <v>-3616.0868516276728</v>
      </c>
      <c r="E60" s="6">
        <f>IFERROR(((IPMT(المدخلات!$E$55/12,B60,$C$6,المدخلات!$E$54,-المدخلات!$E$65,0)))," ")</f>
        <v>-6701.4481505424301</v>
      </c>
      <c r="F60" s="6">
        <f t="shared" si="9"/>
        <v>-141481.94491509756</v>
      </c>
      <c r="G60" s="6">
        <f t="shared" si="8"/>
        <v>-302172.06017821678</v>
      </c>
      <c r="H60" s="6">
        <f t="shared" si="4"/>
        <v>-10317.535002170103</v>
      </c>
      <c r="I60" s="6">
        <f t="shared" si="5"/>
        <v>1458518.0550849023</v>
      </c>
      <c r="J60" s="6" t="str">
        <f>IF(B60&lt;&gt;"",IF(AND(المدخلات!$H$54="سنوي",MOD(B60,12)=0),المدخلات!$J$54,IF(AND(المدخلات!$H$54="القسط (الدفعة) الاول",B60=1),المدخلات!$J$54,IF(المدخلات!$H$54="شهري",المدخلات!$J$54,""))),"")</f>
        <v/>
      </c>
      <c r="K60" s="6" t="str">
        <f>IF(B60&lt;&gt;"",IF(AND(المدخلات!$H$55="سنوي",MOD(B60,12)=0),المدخلات!$J$55,IF(AND(المدخلات!$H$55="القسط (الدفعة) الاول",B60=1),المدخلات!$J$55,IF(المدخلات!$H$55="شهري",المدخلات!$J$55,""))),"")</f>
        <v/>
      </c>
      <c r="L60" s="6">
        <f>IF(B60&lt;&gt;"",IF(AND(المدخلات!$H$56="سنوي",MOD(B60,12)=0),المدخلات!$J$56,IF(AND(المدخلات!$H$56="القسط (الدفعة) الاول",B60=1),المدخلات!$J$56,IF(المدخلات!$H$56="شهري",المدخلات!$J$56,""))),"")</f>
        <v>208.33333333333334</v>
      </c>
      <c r="M60" s="6" t="str">
        <f>IF(B60&lt;&gt;"",IF(AND(المدخلات!$H$57="سنوي",MOD(B60,12)=0),المدخلات!$J$57,IF(AND(المدخلات!$H$57="القسط (الدفعة) الاول",B60=1),المدخلات!$J$57,IF(المدخلات!$H$57="شهري",المدخلات!$J$57,""))),"")</f>
        <v/>
      </c>
      <c r="N60" s="6" t="str">
        <f>IF(B60&lt;&gt;"",IF(AND(المدخلات!$H$58="سنوي",MOD(B60,12)=0),المدخلات!$J$58,IF(AND(المدخلات!$H$58="القسط (الدفعة) الاول",B60=1),المدخلات!$J$58,IF(المدخلات!$H$58="شهري",المدخلات!$J$58,IF(AND(المدخلات!$H$58="End of the loan",B60=المدخلات!$E$58),المدخلات!$J$58,"")))),"")</f>
        <v/>
      </c>
      <c r="O60" s="6">
        <f t="shared" si="0"/>
        <v>208.33333333333334</v>
      </c>
      <c r="P60" s="4">
        <f t="shared" si="1"/>
        <v>10525.868335503437</v>
      </c>
      <c r="T60" s="9">
        <f t="shared" si="2"/>
        <v>46598</v>
      </c>
      <c r="U60" s="5">
        <f t="shared" si="3"/>
        <v>10525.87</v>
      </c>
    </row>
    <row r="61" spans="2:21" x14ac:dyDescent="0.2">
      <c r="B61" s="16">
        <f t="shared" si="6"/>
        <v>44</v>
      </c>
      <c r="C61" s="9">
        <f t="shared" si="7"/>
        <v>46629</v>
      </c>
      <c r="D61" s="6">
        <f>IFERROR((PPMT(المدخلات!$E$55/12,B61,$C$6,المدخلات!$E$54,-المدخلات!$E$65,0))," ")</f>
        <v>-3632.6605830309663</v>
      </c>
      <c r="E61" s="6">
        <f>IFERROR(((IPMT(المدخلات!$E$55/12,B61,$C$6,المدخلات!$E$54,-المدخلات!$E$65,0)))," ")</f>
        <v>-6684.8744191391343</v>
      </c>
      <c r="F61" s="6">
        <f t="shared" si="9"/>
        <v>-145114.60549812851</v>
      </c>
      <c r="G61" s="6">
        <f t="shared" si="8"/>
        <v>-308856.9345973559</v>
      </c>
      <c r="H61" s="6">
        <f t="shared" si="4"/>
        <v>-10317.535002170102</v>
      </c>
      <c r="I61" s="6">
        <f t="shared" si="5"/>
        <v>1454885.3945018714</v>
      </c>
      <c r="J61" s="6" t="str">
        <f>IF(B61&lt;&gt;"",IF(AND(المدخلات!$H$54="سنوي",MOD(B61,12)=0),المدخلات!$J$54,IF(AND(المدخلات!$H$54="القسط (الدفعة) الاول",B61=1),المدخلات!$J$54,IF(المدخلات!$H$54="شهري",المدخلات!$J$54,""))),"")</f>
        <v/>
      </c>
      <c r="K61" s="6" t="str">
        <f>IF(B61&lt;&gt;"",IF(AND(المدخلات!$H$55="سنوي",MOD(B61,12)=0),المدخلات!$J$55,IF(AND(المدخلات!$H$55="القسط (الدفعة) الاول",B61=1),المدخلات!$J$55,IF(المدخلات!$H$55="شهري",المدخلات!$J$55,""))),"")</f>
        <v/>
      </c>
      <c r="L61" s="6">
        <f>IF(B61&lt;&gt;"",IF(AND(المدخلات!$H$56="سنوي",MOD(B61,12)=0),المدخلات!$J$56,IF(AND(المدخلات!$H$56="القسط (الدفعة) الاول",B61=1),المدخلات!$J$56,IF(المدخلات!$H$56="شهري",المدخلات!$J$56,""))),"")</f>
        <v>208.33333333333334</v>
      </c>
      <c r="M61" s="6" t="str">
        <f>IF(B61&lt;&gt;"",IF(AND(المدخلات!$H$57="سنوي",MOD(B61,12)=0),المدخلات!$J$57,IF(AND(المدخلات!$H$57="القسط (الدفعة) الاول",B61=1),المدخلات!$J$57,IF(المدخلات!$H$57="شهري",المدخلات!$J$57,""))),"")</f>
        <v/>
      </c>
      <c r="N61" s="6" t="str">
        <f>IF(B61&lt;&gt;"",IF(AND(المدخلات!$H$58="سنوي",MOD(B61,12)=0),المدخلات!$J$58,IF(AND(المدخلات!$H$58="القسط (الدفعة) الاول",B61=1),المدخلات!$J$58,IF(المدخلات!$H$58="شهري",المدخلات!$J$58,IF(AND(المدخلات!$H$58="End of the loan",B61=المدخلات!$E$58),المدخلات!$J$58,"")))),"")</f>
        <v/>
      </c>
      <c r="O61" s="6">
        <f t="shared" si="0"/>
        <v>208.33333333333334</v>
      </c>
      <c r="P61" s="4">
        <f t="shared" si="1"/>
        <v>10525.868335503435</v>
      </c>
      <c r="T61" s="9">
        <f t="shared" si="2"/>
        <v>46629</v>
      </c>
      <c r="U61" s="5">
        <f t="shared" si="3"/>
        <v>10525.87</v>
      </c>
    </row>
    <row r="62" spans="2:21" x14ac:dyDescent="0.2">
      <c r="B62" s="16">
        <f t="shared" si="6"/>
        <v>45</v>
      </c>
      <c r="C62" s="9">
        <f t="shared" si="7"/>
        <v>46660</v>
      </c>
      <c r="D62" s="6">
        <f>IFERROR((PPMT(المدخلات!$E$55/12,B62,$C$6,المدخلات!$E$54,-المدخلات!$E$65,0))," ")</f>
        <v>-3649.3102773698583</v>
      </c>
      <c r="E62" s="6">
        <f>IFERROR(((IPMT(المدخلات!$E$55/12,B62,$C$6,المدخلات!$E$54,-المدخلات!$E$65,0)))," ")</f>
        <v>-6668.2247248002432</v>
      </c>
      <c r="F62" s="6">
        <f t="shared" si="9"/>
        <v>-148763.91577549838</v>
      </c>
      <c r="G62" s="6">
        <f t="shared" si="8"/>
        <v>-315525.15932215616</v>
      </c>
      <c r="H62" s="6">
        <f t="shared" si="4"/>
        <v>-10317.535002170102</v>
      </c>
      <c r="I62" s="6">
        <f t="shared" si="5"/>
        <v>1451236.0842245016</v>
      </c>
      <c r="J62" s="6" t="str">
        <f>IF(B62&lt;&gt;"",IF(AND(المدخلات!$H$54="سنوي",MOD(B62,12)=0),المدخلات!$J$54,IF(AND(المدخلات!$H$54="القسط (الدفعة) الاول",B62=1),المدخلات!$J$54,IF(المدخلات!$H$54="شهري",المدخلات!$J$54,""))),"")</f>
        <v/>
      </c>
      <c r="K62" s="6" t="str">
        <f>IF(B62&lt;&gt;"",IF(AND(المدخلات!$H$55="سنوي",MOD(B62,12)=0),المدخلات!$J$55,IF(AND(المدخلات!$H$55="القسط (الدفعة) الاول",B62=1),المدخلات!$J$55,IF(المدخلات!$H$55="شهري",المدخلات!$J$55,""))),"")</f>
        <v/>
      </c>
      <c r="L62" s="6">
        <f>IF(B62&lt;&gt;"",IF(AND(المدخلات!$H$56="سنوي",MOD(B62,12)=0),المدخلات!$J$56,IF(AND(المدخلات!$H$56="القسط (الدفعة) الاول",B62=1),المدخلات!$J$56,IF(المدخلات!$H$56="شهري",المدخلات!$J$56,""))),"")</f>
        <v>208.33333333333334</v>
      </c>
      <c r="M62" s="6" t="str">
        <f>IF(B62&lt;&gt;"",IF(AND(المدخلات!$H$57="سنوي",MOD(B62,12)=0),المدخلات!$J$57,IF(AND(المدخلات!$H$57="القسط (الدفعة) الاول",B62=1),المدخلات!$J$57,IF(المدخلات!$H$57="شهري",المدخلات!$J$57,""))),"")</f>
        <v/>
      </c>
      <c r="N62" s="6" t="str">
        <f>IF(B62&lt;&gt;"",IF(AND(المدخلات!$H$58="سنوي",MOD(B62,12)=0),المدخلات!$J$58,IF(AND(المدخلات!$H$58="القسط (الدفعة) الاول",B62=1),المدخلات!$J$58,IF(المدخلات!$H$58="شهري",المدخلات!$J$58,IF(AND(المدخلات!$H$58="End of the loan",B62=المدخلات!$E$58),المدخلات!$J$58,"")))),"")</f>
        <v/>
      </c>
      <c r="O62" s="6">
        <f t="shared" si="0"/>
        <v>208.33333333333334</v>
      </c>
      <c r="P62" s="4">
        <f t="shared" si="1"/>
        <v>10525.868335503435</v>
      </c>
      <c r="T62" s="9">
        <f t="shared" si="2"/>
        <v>46660</v>
      </c>
      <c r="U62" s="5">
        <f t="shared" si="3"/>
        <v>10525.87</v>
      </c>
    </row>
    <row r="63" spans="2:21" x14ac:dyDescent="0.2">
      <c r="B63" s="16">
        <f t="shared" si="6"/>
        <v>46</v>
      </c>
      <c r="C63" s="9">
        <f t="shared" si="7"/>
        <v>46690</v>
      </c>
      <c r="D63" s="6">
        <f>IFERROR((PPMT(المدخلات!$E$55/12,B63,$C$6,المدخلات!$E$54,-المدخلات!$E$65,0))," ")</f>
        <v>-3666.0362828078032</v>
      </c>
      <c r="E63" s="6">
        <f>IFERROR(((IPMT(المدخلات!$E$55/12,B63,$C$6,المدخلات!$E$54,-المدخلات!$E$65,0)))," ")</f>
        <v>-6651.4987193622983</v>
      </c>
      <c r="F63" s="6">
        <f t="shared" si="9"/>
        <v>-152429.95205830617</v>
      </c>
      <c r="G63" s="6">
        <f t="shared" si="8"/>
        <v>-322176.65804151847</v>
      </c>
      <c r="H63" s="6">
        <f t="shared" si="4"/>
        <v>-10317.535002170102</v>
      </c>
      <c r="I63" s="6">
        <f t="shared" si="5"/>
        <v>1447570.0479416938</v>
      </c>
      <c r="J63" s="6" t="str">
        <f>IF(B63&lt;&gt;"",IF(AND(المدخلات!$H$54="سنوي",MOD(B63,12)=0),المدخلات!$J$54,IF(AND(المدخلات!$H$54="القسط (الدفعة) الاول",B63=1),المدخلات!$J$54,IF(المدخلات!$H$54="شهري",المدخلات!$J$54,""))),"")</f>
        <v/>
      </c>
      <c r="K63" s="6" t="str">
        <f>IF(B63&lt;&gt;"",IF(AND(المدخلات!$H$55="سنوي",MOD(B63,12)=0),المدخلات!$J$55,IF(AND(المدخلات!$H$55="القسط (الدفعة) الاول",B63=1),المدخلات!$J$55,IF(المدخلات!$H$55="شهري",المدخلات!$J$55,""))),"")</f>
        <v/>
      </c>
      <c r="L63" s="6">
        <f>IF(B63&lt;&gt;"",IF(AND(المدخلات!$H$56="سنوي",MOD(B63,12)=0),المدخلات!$J$56,IF(AND(المدخلات!$H$56="القسط (الدفعة) الاول",B63=1),المدخلات!$J$56,IF(المدخلات!$H$56="شهري",المدخلات!$J$56,""))),"")</f>
        <v>208.33333333333334</v>
      </c>
      <c r="M63" s="6" t="str">
        <f>IF(B63&lt;&gt;"",IF(AND(المدخلات!$H$57="سنوي",MOD(B63,12)=0),المدخلات!$J$57,IF(AND(المدخلات!$H$57="القسط (الدفعة) الاول",B63=1),المدخلات!$J$57,IF(المدخلات!$H$57="شهري",المدخلات!$J$57,""))),"")</f>
        <v/>
      </c>
      <c r="N63" s="6" t="str">
        <f>IF(B63&lt;&gt;"",IF(AND(المدخلات!$H$58="سنوي",MOD(B63,12)=0),المدخلات!$J$58,IF(AND(المدخلات!$H$58="القسط (الدفعة) الاول",B63=1),المدخلات!$J$58,IF(المدخلات!$H$58="شهري",المدخلات!$J$58,IF(AND(المدخلات!$H$58="End of the loan",B63=المدخلات!$E$58),المدخلات!$J$58,"")))),"")</f>
        <v/>
      </c>
      <c r="O63" s="6">
        <f t="shared" si="0"/>
        <v>208.33333333333334</v>
      </c>
      <c r="P63" s="4">
        <f t="shared" si="1"/>
        <v>10525.868335503435</v>
      </c>
      <c r="T63" s="9">
        <f t="shared" si="2"/>
        <v>46690</v>
      </c>
      <c r="U63" s="5">
        <f t="shared" si="3"/>
        <v>10525.87</v>
      </c>
    </row>
    <row r="64" spans="2:21" x14ac:dyDescent="0.2">
      <c r="B64" s="16">
        <f t="shared" si="6"/>
        <v>47</v>
      </c>
      <c r="C64" s="9">
        <f t="shared" si="7"/>
        <v>46721</v>
      </c>
      <c r="D64" s="6">
        <f>IFERROR((PPMT(المدخلات!$E$55/12,B64,$C$6,المدخلات!$E$54,-المدخلات!$E$65,0))," ")</f>
        <v>-3682.8389491040052</v>
      </c>
      <c r="E64" s="6">
        <f>IFERROR(((IPMT(المدخلات!$E$55/12,B64,$C$6,المدخلات!$E$54,-المدخلات!$E$65,0)))," ")</f>
        <v>-6634.6960530660954</v>
      </c>
      <c r="F64" s="6">
        <f t="shared" si="9"/>
        <v>-156112.79100741018</v>
      </c>
      <c r="G64" s="6">
        <f t="shared" si="8"/>
        <v>-328811.35409458459</v>
      </c>
      <c r="H64" s="6">
        <f t="shared" si="4"/>
        <v>-10317.535002170102</v>
      </c>
      <c r="I64" s="6">
        <f t="shared" si="5"/>
        <v>1443887.2089925897</v>
      </c>
      <c r="J64" s="6" t="str">
        <f>IF(B64&lt;&gt;"",IF(AND(المدخلات!$H$54="سنوي",MOD(B64,12)=0),المدخلات!$J$54,IF(AND(المدخلات!$H$54="القسط (الدفعة) الاول",B64=1),المدخلات!$J$54,IF(المدخلات!$H$54="شهري",المدخلات!$J$54,""))),"")</f>
        <v/>
      </c>
      <c r="K64" s="6" t="str">
        <f>IF(B64&lt;&gt;"",IF(AND(المدخلات!$H$55="سنوي",MOD(B64,12)=0),المدخلات!$J$55,IF(AND(المدخلات!$H$55="القسط (الدفعة) الاول",B64=1),المدخلات!$J$55,IF(المدخلات!$H$55="شهري",المدخلات!$J$55,""))),"")</f>
        <v/>
      </c>
      <c r="L64" s="6">
        <f>IF(B64&lt;&gt;"",IF(AND(المدخلات!$H$56="سنوي",MOD(B64,12)=0),المدخلات!$J$56,IF(AND(المدخلات!$H$56="القسط (الدفعة) الاول",B64=1),المدخلات!$J$56,IF(المدخلات!$H$56="شهري",المدخلات!$J$56,""))),"")</f>
        <v>208.33333333333334</v>
      </c>
      <c r="M64" s="6" t="str">
        <f>IF(B64&lt;&gt;"",IF(AND(المدخلات!$H$57="سنوي",MOD(B64,12)=0),المدخلات!$J$57,IF(AND(المدخلات!$H$57="القسط (الدفعة) الاول",B64=1),المدخلات!$J$57,IF(المدخلات!$H$57="شهري",المدخلات!$J$57,""))),"")</f>
        <v/>
      </c>
      <c r="N64" s="6" t="str">
        <f>IF(B64&lt;&gt;"",IF(AND(المدخلات!$H$58="سنوي",MOD(B64,12)=0),المدخلات!$J$58,IF(AND(المدخلات!$H$58="القسط (الدفعة) الاول",B64=1),المدخلات!$J$58,IF(المدخلات!$H$58="شهري",المدخلات!$J$58,IF(AND(المدخلات!$H$58="End of the loan",B64=المدخلات!$E$58),المدخلات!$J$58,"")))),"")</f>
        <v/>
      </c>
      <c r="O64" s="6">
        <f t="shared" si="0"/>
        <v>208.33333333333334</v>
      </c>
      <c r="P64" s="4">
        <f t="shared" si="1"/>
        <v>10525.868335503435</v>
      </c>
      <c r="T64" s="9">
        <f t="shared" si="2"/>
        <v>46721</v>
      </c>
      <c r="U64" s="5">
        <f t="shared" si="3"/>
        <v>10525.87</v>
      </c>
    </row>
    <row r="65" spans="2:21" x14ac:dyDescent="0.2">
      <c r="B65" s="16">
        <f t="shared" si="6"/>
        <v>48</v>
      </c>
      <c r="C65" s="9">
        <f t="shared" si="7"/>
        <v>46751</v>
      </c>
      <c r="D65" s="6">
        <f>IFERROR((PPMT(المدخلات!$E$55/12,B65,$C$6,المدخلات!$E$54,-المدخلات!$E$65,0))," ")</f>
        <v>-3699.7186276207321</v>
      </c>
      <c r="E65" s="6">
        <f>IFERROR(((IPMT(المدخلات!$E$55/12,B65,$C$6,المدخلات!$E$54,-المدخلات!$E$65,0)))," ")</f>
        <v>-6617.8163745493675</v>
      </c>
      <c r="F65" s="6">
        <f t="shared" si="9"/>
        <v>-159812.5096350309</v>
      </c>
      <c r="G65" s="6">
        <f t="shared" si="8"/>
        <v>-335429.17046913394</v>
      </c>
      <c r="H65" s="6">
        <f t="shared" si="4"/>
        <v>-10317.5350021701</v>
      </c>
      <c r="I65" s="6">
        <f t="shared" si="5"/>
        <v>1440187.490364969</v>
      </c>
      <c r="J65" s="6" t="str">
        <f>IF(B65&lt;&gt;"",IF(AND(المدخلات!$H$54="سنوي",MOD(B65,12)=0),المدخلات!$J$54,IF(AND(المدخلات!$H$54="القسط (الدفعة) الاول",B65=1),المدخلات!$J$54,IF(المدخلات!$H$54="شهري",المدخلات!$J$54,""))),"")</f>
        <v/>
      </c>
      <c r="K65" s="6" t="str">
        <f>IF(B65&lt;&gt;"",IF(AND(المدخلات!$H$55="سنوي",MOD(B65,12)=0),المدخلات!$J$55,IF(AND(المدخلات!$H$55="القسط (الدفعة) الاول",B65=1),المدخلات!$J$55,IF(المدخلات!$H$55="شهري",المدخلات!$J$55,""))),"")</f>
        <v/>
      </c>
      <c r="L65" s="6">
        <f>IF(B65&lt;&gt;"",IF(AND(المدخلات!$H$56="سنوي",MOD(B65,12)=0),المدخلات!$J$56,IF(AND(المدخلات!$H$56="القسط (الدفعة) الاول",B65=1),المدخلات!$J$56,IF(المدخلات!$H$56="شهري",المدخلات!$J$56,""))),"")</f>
        <v>208.33333333333334</v>
      </c>
      <c r="M65" s="6" t="str">
        <f>IF(B65&lt;&gt;"",IF(AND(المدخلات!$H$57="سنوي",MOD(B65,12)=0),المدخلات!$J$57,IF(AND(المدخلات!$H$57="القسط (الدفعة) الاول",B65=1),المدخلات!$J$57,IF(المدخلات!$H$57="شهري",المدخلات!$J$57,""))),"")</f>
        <v/>
      </c>
      <c r="N65" s="6">
        <f>IF(B65&lt;&gt;"",IF(AND(المدخلات!$H$58="سنوي",MOD(B65,12)=0),المدخلات!$J$58,IF(AND(المدخلات!$H$58="القسط (الدفعة) الاول",B65=1),المدخلات!$J$58,IF(المدخلات!$H$58="شهري",المدخلات!$J$58,IF(AND(المدخلات!$H$58="End of the loan",B65=المدخلات!$E$58),المدخلات!$J$58,"")))),"")</f>
        <v>0</v>
      </c>
      <c r="O65" s="6">
        <f t="shared" si="0"/>
        <v>208.33333333333334</v>
      </c>
      <c r="P65" s="4">
        <f t="shared" si="1"/>
        <v>10525.868335503434</v>
      </c>
      <c r="T65" s="9">
        <f t="shared" si="2"/>
        <v>46751</v>
      </c>
      <c r="U65" s="5">
        <f t="shared" si="3"/>
        <v>10525.87</v>
      </c>
    </row>
    <row r="66" spans="2:21" x14ac:dyDescent="0.2">
      <c r="B66" s="16">
        <f t="shared" si="6"/>
        <v>49</v>
      </c>
      <c r="C66" s="9">
        <f t="shared" si="7"/>
        <v>46782</v>
      </c>
      <c r="D66" s="6">
        <f>IFERROR((PPMT(المدخلات!$E$55/12,B66,$C$6,المدخلات!$E$54,-المدخلات!$E$65,0))," ")</f>
        <v>-3716.6756713306613</v>
      </c>
      <c r="E66" s="6">
        <f>IFERROR(((IPMT(المدخلات!$E$55/12,B66,$C$6,المدخلات!$E$54,-المدخلات!$E$65,0)))," ")</f>
        <v>-6600.8593308394411</v>
      </c>
      <c r="F66" s="6">
        <f t="shared" si="9"/>
        <v>-163529.18530636156</v>
      </c>
      <c r="G66" s="6">
        <f t="shared" si="8"/>
        <v>-342030.02979997336</v>
      </c>
      <c r="H66" s="6">
        <f t="shared" si="4"/>
        <v>-10317.535002170102</v>
      </c>
      <c r="I66" s="6">
        <f t="shared" si="5"/>
        <v>1436470.8146936384</v>
      </c>
      <c r="J66" s="6" t="str">
        <f>IF(B66&lt;&gt;"",IF(AND(المدخلات!$H$54="سنوي",MOD(B66,12)=0),المدخلات!$J$54,IF(AND(المدخلات!$H$54="القسط (الدفعة) الاول",B66=1),المدخلات!$J$54,IF(المدخلات!$H$54="شهري",المدخلات!$J$54,""))),"")</f>
        <v/>
      </c>
      <c r="K66" s="6" t="str">
        <f>IF(B66&lt;&gt;"",IF(AND(المدخلات!$H$55="سنوي",MOD(B66,12)=0),المدخلات!$J$55,IF(AND(المدخلات!$H$55="القسط (الدفعة) الاول",B66=1),المدخلات!$J$55,IF(المدخلات!$H$55="شهري",المدخلات!$J$55,""))),"")</f>
        <v/>
      </c>
      <c r="L66" s="6">
        <f>IF(B66&lt;&gt;"",IF(AND(المدخلات!$H$56="سنوي",MOD(B66,12)=0),المدخلات!$J$56,IF(AND(المدخلات!$H$56="القسط (الدفعة) الاول",B66=1),المدخلات!$J$56,IF(المدخلات!$H$56="شهري",المدخلات!$J$56,""))),"")</f>
        <v>208.33333333333334</v>
      </c>
      <c r="M66" s="6" t="str">
        <f>IF(B66&lt;&gt;"",IF(AND(المدخلات!$H$57="سنوي",MOD(B66,12)=0),المدخلات!$J$57,IF(AND(المدخلات!$H$57="القسط (الدفعة) الاول",B66=1),المدخلات!$J$57,IF(المدخلات!$H$57="شهري",المدخلات!$J$57,""))),"")</f>
        <v/>
      </c>
      <c r="N66" s="6" t="str">
        <f>IF(B66&lt;&gt;"",IF(AND(المدخلات!$H$58="سنوي",MOD(B66,12)=0),المدخلات!$J$58,IF(AND(المدخلات!$H$58="القسط (الدفعة) الاول",B66=1),المدخلات!$J$58,IF(المدخلات!$H$58="شهري",المدخلات!$J$58,IF(AND(المدخلات!$H$58="End of the loan",B66=المدخلات!$E$58),المدخلات!$J$58,"")))),"")</f>
        <v/>
      </c>
      <c r="O66" s="6">
        <f t="shared" si="0"/>
        <v>208.33333333333334</v>
      </c>
      <c r="P66" s="4">
        <f t="shared" si="1"/>
        <v>10525.868335503435</v>
      </c>
      <c r="T66" s="9">
        <f t="shared" si="2"/>
        <v>46782</v>
      </c>
      <c r="U66" s="5">
        <f t="shared" si="3"/>
        <v>10525.87</v>
      </c>
    </row>
    <row r="67" spans="2:21" x14ac:dyDescent="0.2">
      <c r="B67" s="16">
        <f t="shared" si="6"/>
        <v>50</v>
      </c>
      <c r="C67" s="9">
        <f t="shared" si="7"/>
        <v>46812</v>
      </c>
      <c r="D67" s="6">
        <f>IFERROR((PPMT(المدخلات!$E$55/12,B67,$C$6,المدخلات!$E$54,-المدخلات!$E$65,0))," ")</f>
        <v>-3733.7104348242597</v>
      </c>
      <c r="E67" s="6">
        <f>IFERROR(((IPMT(المدخلات!$E$55/12,B67,$C$6,المدخلات!$E$54,-المدخلات!$E$65,0)))," ")</f>
        <v>-6583.8245673458405</v>
      </c>
      <c r="F67" s="6">
        <f t="shared" si="9"/>
        <v>-167262.89574118581</v>
      </c>
      <c r="G67" s="6">
        <f t="shared" si="8"/>
        <v>-348613.8543673192</v>
      </c>
      <c r="H67" s="6">
        <f t="shared" si="4"/>
        <v>-10317.5350021701</v>
      </c>
      <c r="I67" s="6">
        <f t="shared" si="5"/>
        <v>1432737.1042588141</v>
      </c>
      <c r="J67" s="6" t="str">
        <f>IF(B67&lt;&gt;"",IF(AND(المدخلات!$H$54="سنوي",MOD(B67,12)=0),المدخلات!$J$54,IF(AND(المدخلات!$H$54="القسط (الدفعة) الاول",B67=1),المدخلات!$J$54,IF(المدخلات!$H$54="شهري",المدخلات!$J$54,""))),"")</f>
        <v/>
      </c>
      <c r="K67" s="6" t="str">
        <f>IF(B67&lt;&gt;"",IF(AND(المدخلات!$H$55="سنوي",MOD(B67,12)=0),المدخلات!$J$55,IF(AND(المدخلات!$H$55="القسط (الدفعة) الاول",B67=1),المدخلات!$J$55,IF(المدخلات!$H$55="شهري",المدخلات!$J$55,""))),"")</f>
        <v/>
      </c>
      <c r="L67" s="6">
        <f>IF(B67&lt;&gt;"",IF(AND(المدخلات!$H$56="سنوي",MOD(B67,12)=0),المدخلات!$J$56,IF(AND(المدخلات!$H$56="القسط (الدفعة) الاول",B67=1),المدخلات!$J$56,IF(المدخلات!$H$56="شهري",المدخلات!$J$56,""))),"")</f>
        <v>208.33333333333334</v>
      </c>
      <c r="M67" s="6" t="str">
        <f>IF(B67&lt;&gt;"",IF(AND(المدخلات!$H$57="سنوي",MOD(B67,12)=0),المدخلات!$J$57,IF(AND(المدخلات!$H$57="القسط (الدفعة) الاول",B67=1),المدخلات!$J$57,IF(المدخلات!$H$57="شهري",المدخلات!$J$57,""))),"")</f>
        <v/>
      </c>
      <c r="N67" s="6" t="str">
        <f>IF(B67&lt;&gt;"",IF(AND(المدخلات!$H$58="سنوي",MOD(B67,12)=0),المدخلات!$J$58,IF(AND(المدخلات!$H$58="القسط (الدفعة) الاول",B67=1),المدخلات!$J$58,IF(المدخلات!$H$58="شهري",المدخلات!$J$58,IF(AND(المدخلات!$H$58="End of the loan",B67=المدخلات!$E$58),المدخلات!$J$58,"")))),"")</f>
        <v/>
      </c>
      <c r="O67" s="6">
        <f t="shared" si="0"/>
        <v>208.33333333333334</v>
      </c>
      <c r="P67" s="4">
        <f t="shared" si="1"/>
        <v>10525.868335503434</v>
      </c>
      <c r="T67" s="9">
        <f t="shared" si="2"/>
        <v>46812</v>
      </c>
      <c r="U67" s="5">
        <f t="shared" si="3"/>
        <v>10525.87</v>
      </c>
    </row>
    <row r="68" spans="2:21" x14ac:dyDescent="0.2">
      <c r="B68" s="16">
        <f t="shared" si="6"/>
        <v>51</v>
      </c>
      <c r="C68" s="9">
        <f t="shared" si="7"/>
        <v>46842</v>
      </c>
      <c r="D68" s="6">
        <f>IFERROR((PPMT(المدخلات!$E$55/12,B68,$C$6,المدخلات!$E$54,-المدخلات!$E$65,0))," ")</f>
        <v>-3750.8232743172043</v>
      </c>
      <c r="E68" s="6">
        <f>IFERROR(((IPMT(المدخلات!$E$55/12,B68,$C$6,المدخلات!$E$54,-المدخلات!$E$65,0)))," ")</f>
        <v>-6566.7117278528967</v>
      </c>
      <c r="F68" s="6">
        <f t="shared" si="9"/>
        <v>-171013.71901550301</v>
      </c>
      <c r="G68" s="6">
        <f t="shared" si="8"/>
        <v>-355180.56609517208</v>
      </c>
      <c r="H68" s="6">
        <f t="shared" si="4"/>
        <v>-10317.535002170102</v>
      </c>
      <c r="I68" s="6">
        <f t="shared" si="5"/>
        <v>1428986.2809844969</v>
      </c>
      <c r="J68" s="6" t="str">
        <f>IF(B68&lt;&gt;"",IF(AND(المدخلات!$H$54="سنوي",MOD(B68,12)=0),المدخلات!$J$54,IF(AND(المدخلات!$H$54="القسط (الدفعة) الاول",B68=1),المدخلات!$J$54,IF(المدخلات!$H$54="شهري",المدخلات!$J$54,""))),"")</f>
        <v/>
      </c>
      <c r="K68" s="6" t="str">
        <f>IF(B68&lt;&gt;"",IF(AND(المدخلات!$H$55="سنوي",MOD(B68,12)=0),المدخلات!$J$55,IF(AND(المدخلات!$H$55="القسط (الدفعة) الاول",B68=1),المدخلات!$J$55,IF(المدخلات!$H$55="شهري",المدخلات!$J$55,""))),"")</f>
        <v/>
      </c>
      <c r="L68" s="6">
        <f>IF(B68&lt;&gt;"",IF(AND(المدخلات!$H$56="سنوي",MOD(B68,12)=0),المدخلات!$J$56,IF(AND(المدخلات!$H$56="القسط (الدفعة) الاول",B68=1),المدخلات!$J$56,IF(المدخلات!$H$56="شهري",المدخلات!$J$56,""))),"")</f>
        <v>208.33333333333334</v>
      </c>
      <c r="M68" s="6" t="str">
        <f>IF(B68&lt;&gt;"",IF(AND(المدخلات!$H$57="سنوي",MOD(B68,12)=0),المدخلات!$J$57,IF(AND(المدخلات!$H$57="القسط (الدفعة) الاول",B68=1),المدخلات!$J$57,IF(المدخلات!$H$57="شهري",المدخلات!$J$57,""))),"")</f>
        <v/>
      </c>
      <c r="N68" s="6" t="str">
        <f>IF(B68&lt;&gt;"",IF(AND(المدخلات!$H$58="سنوي",MOD(B68,12)=0),المدخلات!$J$58,IF(AND(المدخلات!$H$58="القسط (الدفعة) الاول",B68=1),المدخلات!$J$58,IF(المدخلات!$H$58="شهري",المدخلات!$J$58,IF(AND(المدخلات!$H$58="End of the loan",B68=المدخلات!$E$58),المدخلات!$J$58,"")))),"")</f>
        <v/>
      </c>
      <c r="O68" s="6">
        <f t="shared" si="0"/>
        <v>208.33333333333334</v>
      </c>
      <c r="P68" s="4">
        <f t="shared" si="1"/>
        <v>10525.868335503435</v>
      </c>
      <c r="T68" s="9">
        <f t="shared" si="2"/>
        <v>46842</v>
      </c>
      <c r="U68" s="5">
        <f t="shared" si="3"/>
        <v>10525.87</v>
      </c>
    </row>
    <row r="69" spans="2:21" x14ac:dyDescent="0.2">
      <c r="B69" s="16">
        <f t="shared" si="6"/>
        <v>52</v>
      </c>
      <c r="C69" s="9">
        <f t="shared" si="7"/>
        <v>46873</v>
      </c>
      <c r="D69" s="6">
        <f>IFERROR((PPMT(المدخلات!$E$55/12,B69,$C$6,المدخلات!$E$54,-المدخلات!$E$65,0))," ")</f>
        <v>-3768.014547657825</v>
      </c>
      <c r="E69" s="6">
        <f>IFERROR(((IPMT(المدخلات!$E$55/12,B69,$C$6,المدخلات!$E$54,-المدخلات!$E$65,0)))," ")</f>
        <v>-6549.520454512277</v>
      </c>
      <c r="F69" s="6">
        <f t="shared" si="9"/>
        <v>-174781.73356316084</v>
      </c>
      <c r="G69" s="6">
        <f t="shared" si="8"/>
        <v>-361730.08654968435</v>
      </c>
      <c r="H69" s="6">
        <f t="shared" si="4"/>
        <v>-10317.535002170102</v>
      </c>
      <c r="I69" s="6">
        <f t="shared" si="5"/>
        <v>1425218.2664368392</v>
      </c>
      <c r="J69" s="6" t="str">
        <f>IF(B69&lt;&gt;"",IF(AND(المدخلات!$H$54="سنوي",MOD(B69,12)=0),المدخلات!$J$54,IF(AND(المدخلات!$H$54="القسط (الدفعة) الاول",B69=1),المدخلات!$J$54,IF(المدخلات!$H$54="شهري",المدخلات!$J$54,""))),"")</f>
        <v/>
      </c>
      <c r="K69" s="6" t="str">
        <f>IF(B69&lt;&gt;"",IF(AND(المدخلات!$H$55="سنوي",MOD(B69,12)=0),المدخلات!$J$55,IF(AND(المدخلات!$H$55="القسط (الدفعة) الاول",B69=1),المدخلات!$J$55,IF(المدخلات!$H$55="شهري",المدخلات!$J$55,""))),"")</f>
        <v/>
      </c>
      <c r="L69" s="6">
        <f>IF(B69&lt;&gt;"",IF(AND(المدخلات!$H$56="سنوي",MOD(B69,12)=0),المدخلات!$J$56,IF(AND(المدخلات!$H$56="القسط (الدفعة) الاول",B69=1),المدخلات!$J$56,IF(المدخلات!$H$56="شهري",المدخلات!$J$56,""))),"")</f>
        <v>208.33333333333334</v>
      </c>
      <c r="M69" s="6" t="str">
        <f>IF(B69&lt;&gt;"",IF(AND(المدخلات!$H$57="سنوي",MOD(B69,12)=0),المدخلات!$J$57,IF(AND(المدخلات!$H$57="القسط (الدفعة) الاول",B69=1),المدخلات!$J$57,IF(المدخلات!$H$57="شهري",المدخلات!$J$57,""))),"")</f>
        <v/>
      </c>
      <c r="N69" s="6" t="str">
        <f>IF(B69&lt;&gt;"",IF(AND(المدخلات!$H$58="سنوي",MOD(B69,12)=0),المدخلات!$J$58,IF(AND(المدخلات!$H$58="القسط (الدفعة) الاول",B69=1),المدخلات!$J$58,IF(المدخلات!$H$58="شهري",المدخلات!$J$58,IF(AND(المدخلات!$H$58="End of the loan",B69=المدخلات!$E$58),المدخلات!$J$58,"")))),"")</f>
        <v/>
      </c>
      <c r="O69" s="6">
        <f t="shared" si="0"/>
        <v>208.33333333333334</v>
      </c>
      <c r="P69" s="4">
        <f t="shared" si="1"/>
        <v>10525.868335503435</v>
      </c>
      <c r="T69" s="9">
        <f t="shared" si="2"/>
        <v>46873</v>
      </c>
      <c r="U69" s="5">
        <f t="shared" si="3"/>
        <v>10525.87</v>
      </c>
    </row>
    <row r="70" spans="2:21" x14ac:dyDescent="0.2">
      <c r="B70" s="16">
        <f t="shared" si="6"/>
        <v>53</v>
      </c>
      <c r="C70" s="9">
        <f t="shared" si="7"/>
        <v>46903</v>
      </c>
      <c r="D70" s="6">
        <f>IFERROR((PPMT(المدخلات!$E$55/12,B70,$C$6,المدخلات!$E$54,-المدخلات!$E$65,0))," ")</f>
        <v>-3785.2846143345892</v>
      </c>
      <c r="E70" s="6">
        <f>IFERROR(((IPMT(المدخلات!$E$55/12,B70,$C$6,المدخلات!$E$54,-المدخلات!$E$65,0)))," ")</f>
        <v>-6532.2503878355119</v>
      </c>
      <c r="F70" s="6">
        <f t="shared" si="9"/>
        <v>-178567.01817749543</v>
      </c>
      <c r="G70" s="6">
        <f t="shared" si="8"/>
        <v>-368262.33693751984</v>
      </c>
      <c r="H70" s="6">
        <f t="shared" si="4"/>
        <v>-10317.535002170102</v>
      </c>
      <c r="I70" s="6">
        <f t="shared" si="5"/>
        <v>1421432.9818225047</v>
      </c>
      <c r="J70" s="6" t="str">
        <f>IF(B70&lt;&gt;"",IF(AND(المدخلات!$H$54="سنوي",MOD(B70,12)=0),المدخلات!$J$54,IF(AND(المدخلات!$H$54="القسط (الدفعة) الاول",B70=1),المدخلات!$J$54,IF(المدخلات!$H$54="شهري",المدخلات!$J$54,""))),"")</f>
        <v/>
      </c>
      <c r="K70" s="6" t="str">
        <f>IF(B70&lt;&gt;"",IF(AND(المدخلات!$H$55="سنوي",MOD(B70,12)=0),المدخلات!$J$55,IF(AND(المدخلات!$H$55="القسط (الدفعة) الاول",B70=1),المدخلات!$J$55,IF(المدخلات!$H$55="شهري",المدخلات!$J$55,""))),"")</f>
        <v/>
      </c>
      <c r="L70" s="6">
        <f>IF(B70&lt;&gt;"",IF(AND(المدخلات!$H$56="سنوي",MOD(B70,12)=0),المدخلات!$J$56,IF(AND(المدخلات!$H$56="القسط (الدفعة) الاول",B70=1),المدخلات!$J$56,IF(المدخلات!$H$56="شهري",المدخلات!$J$56,""))),"")</f>
        <v>208.33333333333334</v>
      </c>
      <c r="M70" s="6" t="str">
        <f>IF(B70&lt;&gt;"",IF(AND(المدخلات!$H$57="سنوي",MOD(B70,12)=0),المدخلات!$J$57,IF(AND(المدخلات!$H$57="القسط (الدفعة) الاول",B70=1),المدخلات!$J$57,IF(المدخلات!$H$57="شهري",المدخلات!$J$57,""))),"")</f>
        <v/>
      </c>
      <c r="N70" s="6" t="str">
        <f>IF(B70&lt;&gt;"",IF(AND(المدخلات!$H$58="سنوي",MOD(B70,12)=0),المدخلات!$J$58,IF(AND(المدخلات!$H$58="القسط (الدفعة) الاول",B70=1),المدخلات!$J$58,IF(المدخلات!$H$58="شهري",المدخلات!$J$58,IF(AND(المدخلات!$H$58="End of the loan",B70=المدخلات!$E$58),المدخلات!$J$58,"")))),"")</f>
        <v/>
      </c>
      <c r="O70" s="6">
        <f t="shared" si="0"/>
        <v>208.33333333333334</v>
      </c>
      <c r="P70" s="4">
        <f t="shared" si="1"/>
        <v>10525.868335503435</v>
      </c>
      <c r="T70" s="9">
        <f t="shared" si="2"/>
        <v>46903</v>
      </c>
      <c r="U70" s="5">
        <f t="shared" si="3"/>
        <v>10525.87</v>
      </c>
    </row>
    <row r="71" spans="2:21" x14ac:dyDescent="0.2">
      <c r="B71" s="16">
        <f t="shared" si="6"/>
        <v>54</v>
      </c>
      <c r="C71" s="9">
        <f t="shared" si="7"/>
        <v>46934</v>
      </c>
      <c r="D71" s="6">
        <f>IFERROR((PPMT(المدخلات!$E$55/12,B71,$C$6,المدخلات!$E$54,-المدخلات!$E$65,0))," ")</f>
        <v>-3802.6338354836234</v>
      </c>
      <c r="E71" s="6">
        <f>IFERROR(((IPMT(المدخلات!$E$55/12,B71,$C$6,المدخلات!$E$54,-المدخلات!$E$65,0)))," ")</f>
        <v>-6514.901166686479</v>
      </c>
      <c r="F71" s="6">
        <f t="shared" si="9"/>
        <v>-182369.65201297906</v>
      </c>
      <c r="G71" s="6">
        <f t="shared" si="8"/>
        <v>-374777.23810420634</v>
      </c>
      <c r="H71" s="6">
        <f t="shared" si="4"/>
        <v>-10317.535002170102</v>
      </c>
      <c r="I71" s="6">
        <f t="shared" si="5"/>
        <v>1417630.3479870209</v>
      </c>
      <c r="J71" s="6" t="str">
        <f>IF(B71&lt;&gt;"",IF(AND(المدخلات!$H$54="سنوي",MOD(B71,12)=0),المدخلات!$J$54,IF(AND(المدخلات!$H$54="القسط (الدفعة) الاول",B71=1),المدخلات!$J$54,IF(المدخلات!$H$54="شهري",المدخلات!$J$54,""))),"")</f>
        <v/>
      </c>
      <c r="K71" s="6" t="str">
        <f>IF(B71&lt;&gt;"",IF(AND(المدخلات!$H$55="سنوي",MOD(B71,12)=0),المدخلات!$J$55,IF(AND(المدخلات!$H$55="القسط (الدفعة) الاول",B71=1),المدخلات!$J$55,IF(المدخلات!$H$55="شهري",المدخلات!$J$55,""))),"")</f>
        <v/>
      </c>
      <c r="L71" s="6">
        <f>IF(B71&lt;&gt;"",IF(AND(المدخلات!$H$56="سنوي",MOD(B71,12)=0),المدخلات!$J$56,IF(AND(المدخلات!$H$56="القسط (الدفعة) الاول",B71=1),المدخلات!$J$56,IF(المدخلات!$H$56="شهري",المدخلات!$J$56,""))),"")</f>
        <v>208.33333333333334</v>
      </c>
      <c r="M71" s="6" t="str">
        <f>IF(B71&lt;&gt;"",IF(AND(المدخلات!$H$57="سنوي",MOD(B71,12)=0),المدخلات!$J$57,IF(AND(المدخلات!$H$57="القسط (الدفعة) الاول",B71=1),المدخلات!$J$57,IF(المدخلات!$H$57="شهري",المدخلات!$J$57,""))),"")</f>
        <v/>
      </c>
      <c r="N71" s="6" t="str">
        <f>IF(B71&lt;&gt;"",IF(AND(المدخلات!$H$58="سنوي",MOD(B71,12)=0),المدخلات!$J$58,IF(AND(المدخلات!$H$58="القسط (الدفعة) الاول",B71=1),المدخلات!$J$58,IF(المدخلات!$H$58="شهري",المدخلات!$J$58,IF(AND(المدخلات!$H$58="End of the loan",B71=المدخلات!$E$58),المدخلات!$J$58,"")))),"")</f>
        <v/>
      </c>
      <c r="O71" s="6">
        <f t="shared" si="0"/>
        <v>208.33333333333334</v>
      </c>
      <c r="P71" s="4">
        <f t="shared" si="1"/>
        <v>10525.868335503435</v>
      </c>
      <c r="T71" s="9">
        <f t="shared" si="2"/>
        <v>46934</v>
      </c>
      <c r="U71" s="5">
        <f t="shared" si="3"/>
        <v>10525.87</v>
      </c>
    </row>
    <row r="72" spans="2:21" x14ac:dyDescent="0.2">
      <c r="B72" s="16">
        <f t="shared" si="6"/>
        <v>55</v>
      </c>
      <c r="C72" s="9">
        <f t="shared" si="7"/>
        <v>46964</v>
      </c>
      <c r="D72" s="6">
        <f>IFERROR((PPMT(المدخلات!$E$55/12,B72,$C$6,المدخلات!$E$54,-المدخلات!$E$65,0))," ")</f>
        <v>-3820.0625738962563</v>
      </c>
      <c r="E72" s="6">
        <f>IFERROR(((IPMT(المدخلات!$E$55/12,B72,$C$6,المدخلات!$E$54,-المدخلات!$E$65,0)))," ")</f>
        <v>-6497.4724282738453</v>
      </c>
      <c r="F72" s="6">
        <f t="shared" si="9"/>
        <v>-186189.71458687531</v>
      </c>
      <c r="G72" s="6">
        <f t="shared" si="8"/>
        <v>-381274.71053248015</v>
      </c>
      <c r="H72" s="6">
        <f t="shared" si="4"/>
        <v>-10317.535002170102</v>
      </c>
      <c r="I72" s="6">
        <f t="shared" si="5"/>
        <v>1413810.2854131246</v>
      </c>
      <c r="J72" s="6" t="str">
        <f>IF(B72&lt;&gt;"",IF(AND(المدخلات!$H$54="سنوي",MOD(B72,12)=0),المدخلات!$J$54,IF(AND(المدخلات!$H$54="القسط (الدفعة) الاول",B72=1),المدخلات!$J$54,IF(المدخلات!$H$54="شهري",المدخلات!$J$54,""))),"")</f>
        <v/>
      </c>
      <c r="K72" s="6" t="str">
        <f>IF(B72&lt;&gt;"",IF(AND(المدخلات!$H$55="سنوي",MOD(B72,12)=0),المدخلات!$J$55,IF(AND(المدخلات!$H$55="القسط (الدفعة) الاول",B72=1),المدخلات!$J$55,IF(المدخلات!$H$55="شهري",المدخلات!$J$55,""))),"")</f>
        <v/>
      </c>
      <c r="L72" s="6">
        <f>IF(B72&lt;&gt;"",IF(AND(المدخلات!$H$56="سنوي",MOD(B72,12)=0),المدخلات!$J$56,IF(AND(المدخلات!$H$56="القسط (الدفعة) الاول",B72=1),المدخلات!$J$56,IF(المدخلات!$H$56="شهري",المدخلات!$J$56,""))),"")</f>
        <v>208.33333333333334</v>
      </c>
      <c r="M72" s="6" t="str">
        <f>IF(B72&lt;&gt;"",IF(AND(المدخلات!$H$57="سنوي",MOD(B72,12)=0),المدخلات!$J$57,IF(AND(المدخلات!$H$57="القسط (الدفعة) الاول",B72=1),المدخلات!$J$57,IF(المدخلات!$H$57="شهري",المدخلات!$J$57,""))),"")</f>
        <v/>
      </c>
      <c r="N72" s="6" t="str">
        <f>IF(B72&lt;&gt;"",IF(AND(المدخلات!$H$58="سنوي",MOD(B72,12)=0),المدخلات!$J$58,IF(AND(المدخلات!$H$58="القسط (الدفعة) الاول",B72=1),المدخلات!$J$58,IF(المدخلات!$H$58="شهري",المدخلات!$J$58,IF(AND(المدخلات!$H$58="End of the loan",B72=المدخلات!$E$58),المدخلات!$J$58,"")))),"")</f>
        <v/>
      </c>
      <c r="O72" s="6">
        <f t="shared" si="0"/>
        <v>208.33333333333334</v>
      </c>
      <c r="P72" s="4">
        <f t="shared" si="1"/>
        <v>10525.868335503435</v>
      </c>
      <c r="T72" s="9">
        <f t="shared" si="2"/>
        <v>46964</v>
      </c>
      <c r="U72" s="5">
        <f t="shared" si="3"/>
        <v>10525.87</v>
      </c>
    </row>
    <row r="73" spans="2:21" x14ac:dyDescent="0.2">
      <c r="B73" s="16">
        <f t="shared" si="6"/>
        <v>56</v>
      </c>
      <c r="C73" s="9">
        <f t="shared" si="7"/>
        <v>46995</v>
      </c>
      <c r="D73" s="6">
        <f>IFERROR((PPMT(المدخلات!$E$55/12,B73,$C$6,المدخلات!$E$54,-المدخلات!$E$65,0))," ")</f>
        <v>-3837.5711940266142</v>
      </c>
      <c r="E73" s="6">
        <f>IFERROR(((IPMT(المدخلات!$E$55/12,B73,$C$6,المدخلات!$E$54,-المدخلات!$E$65,0)))," ")</f>
        <v>-6479.9638081434878</v>
      </c>
      <c r="F73" s="6">
        <f t="shared" si="9"/>
        <v>-190027.28578090193</v>
      </c>
      <c r="G73" s="6">
        <f t="shared" si="8"/>
        <v>-387754.67434062366</v>
      </c>
      <c r="H73" s="6">
        <f t="shared" si="4"/>
        <v>-10317.535002170102</v>
      </c>
      <c r="I73" s="6">
        <f t="shared" si="5"/>
        <v>1409972.714219098</v>
      </c>
      <c r="J73" s="6" t="str">
        <f>IF(B73&lt;&gt;"",IF(AND(المدخلات!$H$54="سنوي",MOD(B73,12)=0),المدخلات!$J$54,IF(AND(المدخلات!$H$54="القسط (الدفعة) الاول",B73=1),المدخلات!$J$54,IF(المدخلات!$H$54="شهري",المدخلات!$J$54,""))),"")</f>
        <v/>
      </c>
      <c r="K73" s="6" t="str">
        <f>IF(B73&lt;&gt;"",IF(AND(المدخلات!$H$55="سنوي",MOD(B73,12)=0),المدخلات!$J$55,IF(AND(المدخلات!$H$55="القسط (الدفعة) الاول",B73=1),المدخلات!$J$55,IF(المدخلات!$H$55="شهري",المدخلات!$J$55,""))),"")</f>
        <v/>
      </c>
      <c r="L73" s="6">
        <f>IF(B73&lt;&gt;"",IF(AND(المدخلات!$H$56="سنوي",MOD(B73,12)=0),المدخلات!$J$56,IF(AND(المدخلات!$H$56="القسط (الدفعة) الاول",B73=1),المدخلات!$J$56,IF(المدخلات!$H$56="شهري",المدخلات!$J$56,""))),"")</f>
        <v>208.33333333333334</v>
      </c>
      <c r="M73" s="6" t="str">
        <f>IF(B73&lt;&gt;"",IF(AND(المدخلات!$H$57="سنوي",MOD(B73,12)=0),المدخلات!$J$57,IF(AND(المدخلات!$H$57="القسط (الدفعة) الاول",B73=1),المدخلات!$J$57,IF(المدخلات!$H$57="شهري",المدخلات!$J$57,""))),"")</f>
        <v/>
      </c>
      <c r="N73" s="6" t="str">
        <f>IF(B73&lt;&gt;"",IF(AND(المدخلات!$H$58="سنوي",MOD(B73,12)=0),المدخلات!$J$58,IF(AND(المدخلات!$H$58="القسط (الدفعة) الاول",B73=1),المدخلات!$J$58,IF(المدخلات!$H$58="شهري",المدخلات!$J$58,IF(AND(المدخلات!$H$58="End of the loan",B73=المدخلات!$E$58),المدخلات!$J$58,"")))),"")</f>
        <v/>
      </c>
      <c r="O73" s="6">
        <f t="shared" si="0"/>
        <v>208.33333333333334</v>
      </c>
      <c r="P73" s="4">
        <f t="shared" si="1"/>
        <v>10525.868335503435</v>
      </c>
      <c r="T73" s="9">
        <f t="shared" si="2"/>
        <v>46995</v>
      </c>
      <c r="U73" s="5">
        <f t="shared" si="3"/>
        <v>10525.87</v>
      </c>
    </row>
    <row r="74" spans="2:21" x14ac:dyDescent="0.2">
      <c r="B74" s="16">
        <f t="shared" si="6"/>
        <v>57</v>
      </c>
      <c r="C74" s="9">
        <f t="shared" si="7"/>
        <v>47026</v>
      </c>
      <c r="D74" s="6">
        <f>IFERROR((PPMT(المدخلات!$E$55/12,B74,$C$6,المدخلات!$E$54,-المدخلات!$E$65,0))," ")</f>
        <v>-3855.1600619992364</v>
      </c>
      <c r="E74" s="6">
        <f>IFERROR(((IPMT(المدخلات!$E$55/12,B74,$C$6,المدخلات!$E$54,-المدخلات!$E$65,0)))," ")</f>
        <v>-6462.3749401708656</v>
      </c>
      <c r="F74" s="6">
        <f t="shared" si="9"/>
        <v>-193882.44584290116</v>
      </c>
      <c r="G74" s="6">
        <f t="shared" si="8"/>
        <v>-394217.04928079451</v>
      </c>
      <c r="H74" s="6">
        <f t="shared" si="4"/>
        <v>-10317.535002170102</v>
      </c>
      <c r="I74" s="6">
        <f t="shared" si="5"/>
        <v>1406117.5541570988</v>
      </c>
      <c r="J74" s="6" t="str">
        <f>IF(B74&lt;&gt;"",IF(AND(المدخلات!$H$54="سنوي",MOD(B74,12)=0),المدخلات!$J$54,IF(AND(المدخلات!$H$54="القسط (الدفعة) الاول",B74=1),المدخلات!$J$54,IF(المدخلات!$H$54="شهري",المدخلات!$J$54,""))),"")</f>
        <v/>
      </c>
      <c r="K74" s="6" t="str">
        <f>IF(B74&lt;&gt;"",IF(AND(المدخلات!$H$55="سنوي",MOD(B74,12)=0),المدخلات!$J$55,IF(AND(المدخلات!$H$55="القسط (الدفعة) الاول",B74=1),المدخلات!$J$55,IF(المدخلات!$H$55="شهري",المدخلات!$J$55,""))),"")</f>
        <v/>
      </c>
      <c r="L74" s="6">
        <f>IF(B74&lt;&gt;"",IF(AND(المدخلات!$H$56="سنوي",MOD(B74,12)=0),المدخلات!$J$56,IF(AND(المدخلات!$H$56="القسط (الدفعة) الاول",B74=1),المدخلات!$J$56,IF(المدخلات!$H$56="شهري",المدخلات!$J$56,""))),"")</f>
        <v>208.33333333333334</v>
      </c>
      <c r="M74" s="6" t="str">
        <f>IF(B74&lt;&gt;"",IF(AND(المدخلات!$H$57="سنوي",MOD(B74,12)=0),المدخلات!$J$57,IF(AND(المدخلات!$H$57="القسط (الدفعة) الاول",B74=1),المدخلات!$J$57,IF(المدخلات!$H$57="شهري",المدخلات!$J$57,""))),"")</f>
        <v/>
      </c>
      <c r="N74" s="6" t="str">
        <f>IF(B74&lt;&gt;"",IF(AND(المدخلات!$H$58="سنوي",MOD(B74,12)=0),المدخلات!$J$58,IF(AND(المدخلات!$H$58="القسط (الدفعة) الاول",B74=1),المدخلات!$J$58,IF(المدخلات!$H$58="شهري",المدخلات!$J$58,IF(AND(المدخلات!$H$58="End of the loan",B74=المدخلات!$E$58),المدخلات!$J$58,"")))),"")</f>
        <v/>
      </c>
      <c r="O74" s="6">
        <f t="shared" si="0"/>
        <v>208.33333333333334</v>
      </c>
      <c r="P74" s="4">
        <f t="shared" si="1"/>
        <v>10525.868335503435</v>
      </c>
      <c r="T74" s="9">
        <f t="shared" si="2"/>
        <v>47026</v>
      </c>
      <c r="U74" s="5">
        <f t="shared" si="3"/>
        <v>10525.87</v>
      </c>
    </row>
    <row r="75" spans="2:21" x14ac:dyDescent="0.2">
      <c r="B75" s="16">
        <f t="shared" si="6"/>
        <v>58</v>
      </c>
      <c r="C75" s="9">
        <f t="shared" si="7"/>
        <v>47056</v>
      </c>
      <c r="D75" s="6">
        <f>IFERROR((PPMT(المدخلات!$E$55/12,B75,$C$6,المدخلات!$E$54,-المدخلات!$E$65,0))," ")</f>
        <v>-3872.8295456167325</v>
      </c>
      <c r="E75" s="6">
        <f>IFERROR(((IPMT(المدخلات!$E$55/12,B75,$C$6,المدخلات!$E$54,-المدخلات!$E$65,0)))," ")</f>
        <v>-6444.7054565533681</v>
      </c>
      <c r="F75" s="6">
        <f t="shared" si="9"/>
        <v>-197755.27538851788</v>
      </c>
      <c r="G75" s="6">
        <f t="shared" si="8"/>
        <v>-400661.75473734789</v>
      </c>
      <c r="H75" s="6">
        <f t="shared" si="4"/>
        <v>-10317.535002170102</v>
      </c>
      <c r="I75" s="6">
        <f t="shared" si="5"/>
        <v>1402244.7246114821</v>
      </c>
      <c r="J75" s="6" t="str">
        <f>IF(B75&lt;&gt;"",IF(AND(المدخلات!$H$54="سنوي",MOD(B75,12)=0),المدخلات!$J$54,IF(AND(المدخلات!$H$54="القسط (الدفعة) الاول",B75=1),المدخلات!$J$54,IF(المدخلات!$H$54="شهري",المدخلات!$J$54,""))),"")</f>
        <v/>
      </c>
      <c r="K75" s="6" t="str">
        <f>IF(B75&lt;&gt;"",IF(AND(المدخلات!$H$55="سنوي",MOD(B75,12)=0),المدخلات!$J$55,IF(AND(المدخلات!$H$55="القسط (الدفعة) الاول",B75=1),المدخلات!$J$55,IF(المدخلات!$H$55="شهري",المدخلات!$J$55,""))),"")</f>
        <v/>
      </c>
      <c r="L75" s="6">
        <f>IF(B75&lt;&gt;"",IF(AND(المدخلات!$H$56="سنوي",MOD(B75,12)=0),المدخلات!$J$56,IF(AND(المدخلات!$H$56="القسط (الدفعة) الاول",B75=1),المدخلات!$J$56,IF(المدخلات!$H$56="شهري",المدخلات!$J$56,""))),"")</f>
        <v>208.33333333333334</v>
      </c>
      <c r="M75" s="6" t="str">
        <f>IF(B75&lt;&gt;"",IF(AND(المدخلات!$H$57="سنوي",MOD(B75,12)=0),المدخلات!$J$57,IF(AND(المدخلات!$H$57="القسط (الدفعة) الاول",B75=1),المدخلات!$J$57,IF(المدخلات!$H$57="شهري",المدخلات!$J$57,""))),"")</f>
        <v/>
      </c>
      <c r="N75" s="6" t="str">
        <f>IF(B75&lt;&gt;"",IF(AND(المدخلات!$H$58="سنوي",MOD(B75,12)=0),المدخلات!$J$58,IF(AND(المدخلات!$H$58="القسط (الدفعة) الاول",B75=1),المدخلات!$J$58,IF(المدخلات!$H$58="شهري",المدخلات!$J$58,IF(AND(المدخلات!$H$58="End of the loan",B75=المدخلات!$E$58),المدخلات!$J$58,"")))),"")</f>
        <v/>
      </c>
      <c r="O75" s="6">
        <f t="shared" si="0"/>
        <v>208.33333333333334</v>
      </c>
      <c r="P75" s="4">
        <f t="shared" si="1"/>
        <v>10525.868335503435</v>
      </c>
      <c r="T75" s="9">
        <f t="shared" si="2"/>
        <v>47056</v>
      </c>
      <c r="U75" s="5">
        <f t="shared" si="3"/>
        <v>10525.87</v>
      </c>
    </row>
    <row r="76" spans="2:21" x14ac:dyDescent="0.2">
      <c r="B76" s="16">
        <f t="shared" si="6"/>
        <v>59</v>
      </c>
      <c r="C76" s="9">
        <f t="shared" si="7"/>
        <v>47087</v>
      </c>
      <c r="D76" s="6">
        <f>IFERROR((PPMT(المدخلات!$E$55/12,B76,$C$6,المدخلات!$E$54,-المدخلات!$E$65,0))," ")</f>
        <v>-3890.580014367476</v>
      </c>
      <c r="E76" s="6">
        <f>IFERROR(((IPMT(المدخلات!$E$55/12,B76,$C$6,المدخلات!$E$54,-المدخلات!$E$65,0)))," ")</f>
        <v>-6426.9549878026255</v>
      </c>
      <c r="F76" s="6">
        <f t="shared" si="9"/>
        <v>-201645.85540288535</v>
      </c>
      <c r="G76" s="6">
        <f t="shared" si="8"/>
        <v>-407088.70972515049</v>
      </c>
      <c r="H76" s="6">
        <f t="shared" si="4"/>
        <v>-10317.535002170102</v>
      </c>
      <c r="I76" s="6">
        <f t="shared" si="5"/>
        <v>1398354.1445971145</v>
      </c>
      <c r="J76" s="6" t="str">
        <f>IF(B76&lt;&gt;"",IF(AND(المدخلات!$H$54="سنوي",MOD(B76,12)=0),المدخلات!$J$54,IF(AND(المدخلات!$H$54="القسط (الدفعة) الاول",B76=1),المدخلات!$J$54,IF(المدخلات!$H$54="شهري",المدخلات!$J$54,""))),"")</f>
        <v/>
      </c>
      <c r="K76" s="6" t="str">
        <f>IF(B76&lt;&gt;"",IF(AND(المدخلات!$H$55="سنوي",MOD(B76,12)=0),المدخلات!$J$55,IF(AND(المدخلات!$H$55="القسط (الدفعة) الاول",B76=1),المدخلات!$J$55,IF(المدخلات!$H$55="شهري",المدخلات!$J$55,""))),"")</f>
        <v/>
      </c>
      <c r="L76" s="6">
        <f>IF(B76&lt;&gt;"",IF(AND(المدخلات!$H$56="سنوي",MOD(B76,12)=0),المدخلات!$J$56,IF(AND(المدخلات!$H$56="القسط (الدفعة) الاول",B76=1),المدخلات!$J$56,IF(المدخلات!$H$56="شهري",المدخلات!$J$56,""))),"")</f>
        <v>208.33333333333334</v>
      </c>
      <c r="M76" s="6" t="str">
        <f>IF(B76&lt;&gt;"",IF(AND(المدخلات!$H$57="سنوي",MOD(B76,12)=0),المدخلات!$J$57,IF(AND(المدخلات!$H$57="القسط (الدفعة) الاول",B76=1),المدخلات!$J$57,IF(المدخلات!$H$57="شهري",المدخلات!$J$57,""))),"")</f>
        <v/>
      </c>
      <c r="N76" s="6" t="str">
        <f>IF(B76&lt;&gt;"",IF(AND(المدخلات!$H$58="سنوي",MOD(B76,12)=0),المدخلات!$J$58,IF(AND(المدخلات!$H$58="القسط (الدفعة) الاول",B76=1),المدخلات!$J$58,IF(المدخلات!$H$58="شهري",المدخلات!$J$58,IF(AND(المدخلات!$H$58="End of the loan",B76=المدخلات!$E$58),المدخلات!$J$58,"")))),"")</f>
        <v/>
      </c>
      <c r="O76" s="6">
        <f t="shared" si="0"/>
        <v>208.33333333333334</v>
      </c>
      <c r="P76" s="4">
        <f t="shared" si="1"/>
        <v>10525.868335503435</v>
      </c>
      <c r="T76" s="9">
        <f t="shared" si="2"/>
        <v>47087</v>
      </c>
      <c r="U76" s="5">
        <f t="shared" si="3"/>
        <v>10525.87</v>
      </c>
    </row>
    <row r="77" spans="2:21" x14ac:dyDescent="0.2">
      <c r="B77" s="16">
        <f t="shared" si="6"/>
        <v>60</v>
      </c>
      <c r="C77" s="9">
        <f t="shared" si="7"/>
        <v>47117</v>
      </c>
      <c r="D77" s="6">
        <f>IFERROR((PPMT(المدخلات!$E$55/12,B77,$C$6,المدخلات!$E$54,-المدخلات!$E$65,0))," ")</f>
        <v>-3908.4118394333277</v>
      </c>
      <c r="E77" s="6">
        <f>IFERROR(((IPMT(المدخلات!$E$55/12,B77,$C$6,المدخلات!$E$54,-المدخلات!$E$65,0)))," ")</f>
        <v>-6409.1231627367742</v>
      </c>
      <c r="F77" s="6">
        <f t="shared" si="9"/>
        <v>-205554.26724231869</v>
      </c>
      <c r="G77" s="6">
        <f t="shared" si="8"/>
        <v>-413497.83288788726</v>
      </c>
      <c r="H77" s="6">
        <f t="shared" si="4"/>
        <v>-10317.535002170102</v>
      </c>
      <c r="I77" s="6">
        <f t="shared" si="5"/>
        <v>1394445.7327576813</v>
      </c>
      <c r="J77" s="6" t="str">
        <f>IF(B77&lt;&gt;"",IF(AND(المدخلات!$H$54="سنوي",MOD(B77,12)=0),المدخلات!$J$54,IF(AND(المدخلات!$H$54="القسط (الدفعة) الاول",B77=1),المدخلات!$J$54,IF(المدخلات!$H$54="شهري",المدخلات!$J$54,""))),"")</f>
        <v/>
      </c>
      <c r="K77" s="6" t="str">
        <f>IF(B77&lt;&gt;"",IF(AND(المدخلات!$H$55="سنوي",MOD(B77,12)=0),المدخلات!$J$55,IF(AND(المدخلات!$H$55="القسط (الدفعة) الاول",B77=1),المدخلات!$J$55,IF(المدخلات!$H$55="شهري",المدخلات!$J$55,""))),"")</f>
        <v/>
      </c>
      <c r="L77" s="6">
        <f>IF(B77&lt;&gt;"",IF(AND(المدخلات!$H$56="سنوي",MOD(B77,12)=0),المدخلات!$J$56,IF(AND(المدخلات!$H$56="القسط (الدفعة) الاول",B77=1),المدخلات!$J$56,IF(المدخلات!$H$56="شهري",المدخلات!$J$56,""))),"")</f>
        <v>208.33333333333334</v>
      </c>
      <c r="M77" s="6" t="str">
        <f>IF(B77&lt;&gt;"",IF(AND(المدخلات!$H$57="سنوي",MOD(B77,12)=0),المدخلات!$J$57,IF(AND(المدخلات!$H$57="القسط (الدفعة) الاول",B77=1),المدخلات!$J$57,IF(المدخلات!$H$57="شهري",المدخلات!$J$57,""))),"")</f>
        <v/>
      </c>
      <c r="N77" s="6">
        <f>IF(B77&lt;&gt;"",IF(AND(المدخلات!$H$58="سنوي",MOD(B77,12)=0),المدخلات!$J$58,IF(AND(المدخلات!$H$58="القسط (الدفعة) الاول",B77=1),المدخلات!$J$58,IF(المدخلات!$H$58="شهري",المدخلات!$J$58,IF(AND(المدخلات!$H$58="End of the loan",B77=المدخلات!$E$58),المدخلات!$J$58,"")))),"")</f>
        <v>0</v>
      </c>
      <c r="O77" s="6">
        <f t="shared" si="0"/>
        <v>208.33333333333334</v>
      </c>
      <c r="P77" s="4">
        <f t="shared" si="1"/>
        <v>10525.868335503435</v>
      </c>
      <c r="T77" s="9">
        <f t="shared" si="2"/>
        <v>47117</v>
      </c>
      <c r="U77" s="5">
        <f t="shared" si="3"/>
        <v>10525.87</v>
      </c>
    </row>
    <row r="78" spans="2:21" x14ac:dyDescent="0.2">
      <c r="B78" s="16">
        <f t="shared" si="6"/>
        <v>61</v>
      </c>
      <c r="C78" s="9">
        <f t="shared" si="7"/>
        <v>47148</v>
      </c>
      <c r="D78" s="6">
        <f>IFERROR((PPMT(المدخلات!$E$55/12,B78,$C$6,المدخلات!$E$54,-المدخلات!$E$65,0))," ")</f>
        <v>-3926.3253936973965</v>
      </c>
      <c r="E78" s="6">
        <f>IFERROR(((IPMT(المدخلات!$E$55/12,B78,$C$6,المدخلات!$E$54,-المدخلات!$E$65,0)))," ")</f>
        <v>-6391.2096084727045</v>
      </c>
      <c r="F78" s="6">
        <f t="shared" si="9"/>
        <v>-209480.59263601608</v>
      </c>
      <c r="G78" s="6">
        <f t="shared" si="8"/>
        <v>-419889.04249635997</v>
      </c>
      <c r="H78" s="6">
        <f t="shared" si="4"/>
        <v>-10317.535002170102</v>
      </c>
      <c r="I78" s="6">
        <f t="shared" si="5"/>
        <v>1390519.4073639838</v>
      </c>
      <c r="J78" s="6" t="str">
        <f>IF(B78&lt;&gt;"",IF(AND(المدخلات!$H$54="سنوي",MOD(B78,12)=0),المدخلات!$J$54,IF(AND(المدخلات!$H$54="القسط (الدفعة) الاول",B78=1),المدخلات!$J$54,IF(المدخلات!$H$54="شهري",المدخلات!$J$54,""))),"")</f>
        <v/>
      </c>
      <c r="K78" s="6" t="str">
        <f>IF(B78&lt;&gt;"",IF(AND(المدخلات!$H$55="سنوي",MOD(B78,12)=0),المدخلات!$J$55,IF(AND(المدخلات!$H$55="القسط (الدفعة) الاول",B78=1),المدخلات!$J$55,IF(المدخلات!$H$55="شهري",المدخلات!$J$55,""))),"")</f>
        <v/>
      </c>
      <c r="L78" s="6">
        <f>IF(B78&lt;&gt;"",IF(AND(المدخلات!$H$56="سنوي",MOD(B78,12)=0),المدخلات!$J$56,IF(AND(المدخلات!$H$56="القسط (الدفعة) الاول",B78=1),المدخلات!$J$56,IF(المدخلات!$H$56="شهري",المدخلات!$J$56,""))),"")</f>
        <v>208.33333333333334</v>
      </c>
      <c r="M78" s="6" t="str">
        <f>IF(B78&lt;&gt;"",IF(AND(المدخلات!$H$57="سنوي",MOD(B78,12)=0),المدخلات!$J$57,IF(AND(المدخلات!$H$57="القسط (الدفعة) الاول",B78=1),المدخلات!$J$57,IF(المدخلات!$H$57="شهري",المدخلات!$J$57,""))),"")</f>
        <v/>
      </c>
      <c r="N78" s="6" t="str">
        <f>IF(B78&lt;&gt;"",IF(AND(المدخلات!$H$58="سنوي",MOD(B78,12)=0),المدخلات!$J$58,IF(AND(المدخلات!$H$58="القسط (الدفعة) الاول",B78=1),المدخلات!$J$58,IF(المدخلات!$H$58="شهري",المدخلات!$J$58,IF(AND(المدخلات!$H$58="End of the loan",B78=المدخلات!$E$58),المدخلات!$J$58,"")))),"")</f>
        <v/>
      </c>
      <c r="O78" s="6">
        <f t="shared" si="0"/>
        <v>208.33333333333334</v>
      </c>
      <c r="P78" s="4">
        <f t="shared" si="1"/>
        <v>10525.868335503435</v>
      </c>
      <c r="T78" s="9">
        <f t="shared" si="2"/>
        <v>47148</v>
      </c>
      <c r="U78" s="5">
        <f t="shared" si="3"/>
        <v>10525.87</v>
      </c>
    </row>
    <row r="79" spans="2:21" x14ac:dyDescent="0.2">
      <c r="B79" s="16">
        <f t="shared" si="6"/>
        <v>62</v>
      </c>
      <c r="C79" s="9">
        <f t="shared" si="7"/>
        <v>47177</v>
      </c>
      <c r="D79" s="6">
        <f>IFERROR((PPMT(المدخلات!$E$55/12,B79,$C$6,المدخلات!$E$54,-المدخلات!$E$65,0))," ")</f>
        <v>-3944.3210517518432</v>
      </c>
      <c r="E79" s="6">
        <f>IFERROR(((IPMT(المدخلات!$E$55/12,B79,$C$6,المدخلات!$E$54,-المدخلات!$E$65,0)))," ")</f>
        <v>-6373.2139504182578</v>
      </c>
      <c r="F79" s="6">
        <f t="shared" si="9"/>
        <v>-213424.91368776793</v>
      </c>
      <c r="G79" s="6">
        <f t="shared" si="8"/>
        <v>-426262.25644677825</v>
      </c>
      <c r="H79" s="6">
        <f t="shared" si="4"/>
        <v>-10317.535002170102</v>
      </c>
      <c r="I79" s="6">
        <f t="shared" si="5"/>
        <v>1386575.0863122321</v>
      </c>
      <c r="J79" s="6" t="str">
        <f>IF(B79&lt;&gt;"",IF(AND(المدخلات!$H$54="سنوي",MOD(B79,12)=0),المدخلات!$J$54,IF(AND(المدخلات!$H$54="القسط (الدفعة) الاول",B79=1),المدخلات!$J$54,IF(المدخلات!$H$54="شهري",المدخلات!$J$54,""))),"")</f>
        <v/>
      </c>
      <c r="K79" s="6" t="str">
        <f>IF(B79&lt;&gt;"",IF(AND(المدخلات!$H$55="سنوي",MOD(B79,12)=0),المدخلات!$J$55,IF(AND(المدخلات!$H$55="القسط (الدفعة) الاول",B79=1),المدخلات!$J$55,IF(المدخلات!$H$55="شهري",المدخلات!$J$55,""))),"")</f>
        <v/>
      </c>
      <c r="L79" s="6">
        <f>IF(B79&lt;&gt;"",IF(AND(المدخلات!$H$56="سنوي",MOD(B79,12)=0),المدخلات!$J$56,IF(AND(المدخلات!$H$56="القسط (الدفعة) الاول",B79=1),المدخلات!$J$56,IF(المدخلات!$H$56="شهري",المدخلات!$J$56,""))),"")</f>
        <v>208.33333333333334</v>
      </c>
      <c r="M79" s="6" t="str">
        <f>IF(B79&lt;&gt;"",IF(AND(المدخلات!$H$57="سنوي",MOD(B79,12)=0),المدخلات!$J$57,IF(AND(المدخلات!$H$57="القسط (الدفعة) الاول",B79=1),المدخلات!$J$57,IF(المدخلات!$H$57="شهري",المدخلات!$J$57,""))),"")</f>
        <v/>
      </c>
      <c r="N79" s="6" t="str">
        <f>IF(B79&lt;&gt;"",IF(AND(المدخلات!$H$58="سنوي",MOD(B79,12)=0),المدخلات!$J$58,IF(AND(المدخلات!$H$58="القسط (الدفعة) الاول",B79=1),المدخلات!$J$58,IF(المدخلات!$H$58="شهري",المدخلات!$J$58,IF(AND(المدخلات!$H$58="End of the loan",B79=المدخلات!$E$58),المدخلات!$J$58,"")))),"")</f>
        <v/>
      </c>
      <c r="O79" s="6">
        <f t="shared" si="0"/>
        <v>208.33333333333334</v>
      </c>
      <c r="P79" s="4">
        <f t="shared" si="1"/>
        <v>10525.868335503435</v>
      </c>
      <c r="T79" s="9">
        <f t="shared" si="2"/>
        <v>47177</v>
      </c>
      <c r="U79" s="5">
        <f t="shared" si="3"/>
        <v>10525.87</v>
      </c>
    </row>
    <row r="80" spans="2:21" x14ac:dyDescent="0.2">
      <c r="B80" s="16">
        <f t="shared" si="6"/>
        <v>63</v>
      </c>
      <c r="C80" s="9">
        <f t="shared" si="7"/>
        <v>47207</v>
      </c>
      <c r="D80" s="6">
        <f>IFERROR((PPMT(المدخلات!$E$55/12,B80,$C$6,المدخلات!$E$54,-المدخلات!$E$65,0))," ")</f>
        <v>-3962.399189905706</v>
      </c>
      <c r="E80" s="6">
        <f>IFERROR(((IPMT(المدخلات!$E$55/12,B80,$C$6,المدخلات!$E$54,-المدخلات!$E$65,0)))," ")</f>
        <v>-6355.135812264396</v>
      </c>
      <c r="F80" s="6">
        <f t="shared" si="9"/>
        <v>-217387.31287767363</v>
      </c>
      <c r="G80" s="6">
        <f t="shared" si="8"/>
        <v>-432617.39225904265</v>
      </c>
      <c r="H80" s="6">
        <f t="shared" si="4"/>
        <v>-10317.535002170102</v>
      </c>
      <c r="I80" s="6">
        <f t="shared" si="5"/>
        <v>1382612.6871223263</v>
      </c>
      <c r="J80" s="6" t="str">
        <f>IF(B80&lt;&gt;"",IF(AND(المدخلات!$H$54="سنوي",MOD(B80,12)=0),المدخلات!$J$54,IF(AND(المدخلات!$H$54="القسط (الدفعة) الاول",B80=1),المدخلات!$J$54,IF(المدخلات!$H$54="شهري",المدخلات!$J$54,""))),"")</f>
        <v/>
      </c>
      <c r="K80" s="6" t="str">
        <f>IF(B80&lt;&gt;"",IF(AND(المدخلات!$H$55="سنوي",MOD(B80,12)=0),المدخلات!$J$55,IF(AND(المدخلات!$H$55="القسط (الدفعة) الاول",B80=1),المدخلات!$J$55,IF(المدخلات!$H$55="شهري",المدخلات!$J$55,""))),"")</f>
        <v/>
      </c>
      <c r="L80" s="6">
        <f>IF(B80&lt;&gt;"",IF(AND(المدخلات!$H$56="سنوي",MOD(B80,12)=0),المدخلات!$J$56,IF(AND(المدخلات!$H$56="القسط (الدفعة) الاول",B80=1),المدخلات!$J$56,IF(المدخلات!$H$56="شهري",المدخلات!$J$56,""))),"")</f>
        <v>208.33333333333334</v>
      </c>
      <c r="M80" s="6" t="str">
        <f>IF(B80&lt;&gt;"",IF(AND(المدخلات!$H$57="سنوي",MOD(B80,12)=0),المدخلات!$J$57,IF(AND(المدخلات!$H$57="القسط (الدفعة) الاول",B80=1),المدخلات!$J$57,IF(المدخلات!$H$57="شهري",المدخلات!$J$57,""))),"")</f>
        <v/>
      </c>
      <c r="N80" s="6" t="str">
        <f>IF(B80&lt;&gt;"",IF(AND(المدخلات!$H$58="سنوي",MOD(B80,12)=0),المدخلات!$J$58,IF(AND(المدخلات!$H$58="القسط (الدفعة) الاول",B80=1),المدخلات!$J$58,IF(المدخلات!$H$58="شهري",المدخلات!$J$58,IF(AND(المدخلات!$H$58="End of the loan",B80=المدخلات!$E$58),المدخلات!$J$58,"")))),"")</f>
        <v/>
      </c>
      <c r="O80" s="6">
        <f t="shared" si="0"/>
        <v>208.33333333333334</v>
      </c>
      <c r="P80" s="4">
        <f t="shared" si="1"/>
        <v>10525.868335503435</v>
      </c>
      <c r="T80" s="9">
        <f t="shared" si="2"/>
        <v>47207</v>
      </c>
      <c r="U80" s="5">
        <f t="shared" si="3"/>
        <v>10525.87</v>
      </c>
    </row>
    <row r="81" spans="2:21" x14ac:dyDescent="0.2">
      <c r="B81" s="16">
        <f t="shared" si="6"/>
        <v>64</v>
      </c>
      <c r="C81" s="9">
        <f t="shared" si="7"/>
        <v>47238</v>
      </c>
      <c r="D81" s="6">
        <f>IFERROR((PPMT(المدخلات!$E$55/12,B81,$C$6,المدخلات!$E$54,-المدخلات!$E$65,0))," ")</f>
        <v>-3980.5601861927735</v>
      </c>
      <c r="E81" s="6">
        <f>IFERROR(((IPMT(المدخلات!$E$55/12,B81,$C$6,المدخلات!$E$54,-المدخلات!$E$65,0)))," ")</f>
        <v>-6336.974815977328</v>
      </c>
      <c r="F81" s="6">
        <f t="shared" si="9"/>
        <v>-221367.8730638664</v>
      </c>
      <c r="G81" s="6">
        <f t="shared" si="8"/>
        <v>-438954.36707501998</v>
      </c>
      <c r="H81" s="6">
        <f t="shared" si="4"/>
        <v>-10317.535002170102</v>
      </c>
      <c r="I81" s="6">
        <f t="shared" si="5"/>
        <v>1378632.1269361335</v>
      </c>
      <c r="J81" s="6" t="str">
        <f>IF(B81&lt;&gt;"",IF(AND(المدخلات!$H$54="سنوي",MOD(B81,12)=0),المدخلات!$J$54,IF(AND(المدخلات!$H$54="القسط (الدفعة) الاول",B81=1),المدخلات!$J$54,IF(المدخلات!$H$54="شهري",المدخلات!$J$54,""))),"")</f>
        <v/>
      </c>
      <c r="K81" s="6" t="str">
        <f>IF(B81&lt;&gt;"",IF(AND(المدخلات!$H$55="سنوي",MOD(B81,12)=0),المدخلات!$J$55,IF(AND(المدخلات!$H$55="القسط (الدفعة) الاول",B81=1),المدخلات!$J$55,IF(المدخلات!$H$55="شهري",المدخلات!$J$55,""))),"")</f>
        <v/>
      </c>
      <c r="L81" s="6">
        <f>IF(B81&lt;&gt;"",IF(AND(المدخلات!$H$56="سنوي",MOD(B81,12)=0),المدخلات!$J$56,IF(AND(المدخلات!$H$56="القسط (الدفعة) الاول",B81=1),المدخلات!$J$56,IF(المدخلات!$H$56="شهري",المدخلات!$J$56,""))),"")</f>
        <v>208.33333333333334</v>
      </c>
      <c r="M81" s="6" t="str">
        <f>IF(B81&lt;&gt;"",IF(AND(المدخلات!$H$57="سنوي",MOD(B81,12)=0),المدخلات!$J$57,IF(AND(المدخلات!$H$57="القسط (الدفعة) الاول",B81=1),المدخلات!$J$57,IF(المدخلات!$H$57="شهري",المدخلات!$J$57,""))),"")</f>
        <v/>
      </c>
      <c r="N81" s="6" t="str">
        <f>IF(B81&lt;&gt;"",IF(AND(المدخلات!$H$58="سنوي",MOD(B81,12)=0),المدخلات!$J$58,IF(AND(المدخلات!$H$58="القسط (الدفعة) الاول",B81=1),المدخلات!$J$58,IF(المدخلات!$H$58="شهري",المدخلات!$J$58,IF(AND(المدخلات!$H$58="End of the loan",B81=المدخلات!$E$58),المدخلات!$J$58,"")))),"")</f>
        <v/>
      </c>
      <c r="O81" s="6">
        <f t="shared" ref="O81:O144" si="10">IF(B81&lt;&gt;"",SUM(J81:N81),"")</f>
        <v>208.33333333333334</v>
      </c>
      <c r="P81" s="4">
        <f t="shared" ref="P81:P144" si="11">IF(B81&lt;&gt;"",(-H81+O81),"")</f>
        <v>10525.868335503435</v>
      </c>
      <c r="T81" s="9">
        <f t="shared" si="2"/>
        <v>47238</v>
      </c>
      <c r="U81" s="5">
        <f t="shared" si="3"/>
        <v>10525.87</v>
      </c>
    </row>
    <row r="82" spans="2:21" x14ac:dyDescent="0.2">
      <c r="B82" s="16">
        <f t="shared" si="6"/>
        <v>65</v>
      </c>
      <c r="C82" s="9">
        <f t="shared" si="7"/>
        <v>47268</v>
      </c>
      <c r="D82" s="6">
        <f>IFERROR((PPMT(المدخلات!$E$55/12,B82,$C$6,المدخلات!$E$54,-المدخلات!$E$65,0))," ")</f>
        <v>-3998.8044203794902</v>
      </c>
      <c r="E82" s="6">
        <f>IFERROR(((IPMT(المدخلات!$E$55/12,B82,$C$6,المدخلات!$E$54,-المدخلات!$E$65,0)))," ")</f>
        <v>-6318.7305817906108</v>
      </c>
      <c r="F82" s="6">
        <f t="shared" si="9"/>
        <v>-225366.67748424588</v>
      </c>
      <c r="G82" s="6">
        <f t="shared" si="8"/>
        <v>-445273.0976568106</v>
      </c>
      <c r="H82" s="6">
        <f t="shared" si="4"/>
        <v>-10317.535002170102</v>
      </c>
      <c r="I82" s="6">
        <f t="shared" si="5"/>
        <v>1374633.322515754</v>
      </c>
      <c r="J82" s="6" t="str">
        <f>IF(B82&lt;&gt;"",IF(AND(المدخلات!$H$54="سنوي",MOD(B82,12)=0),المدخلات!$J$54,IF(AND(المدخلات!$H$54="القسط (الدفعة) الاول",B82=1),المدخلات!$J$54,IF(المدخلات!$H$54="شهري",المدخلات!$J$54,""))),"")</f>
        <v/>
      </c>
      <c r="K82" s="6" t="str">
        <f>IF(B82&lt;&gt;"",IF(AND(المدخلات!$H$55="سنوي",MOD(B82,12)=0),المدخلات!$J$55,IF(AND(المدخلات!$H$55="القسط (الدفعة) الاول",B82=1),المدخلات!$J$55,IF(المدخلات!$H$55="شهري",المدخلات!$J$55,""))),"")</f>
        <v/>
      </c>
      <c r="L82" s="6">
        <f>IF(B82&lt;&gt;"",IF(AND(المدخلات!$H$56="سنوي",MOD(B82,12)=0),المدخلات!$J$56,IF(AND(المدخلات!$H$56="القسط (الدفعة) الاول",B82=1),المدخلات!$J$56,IF(المدخلات!$H$56="شهري",المدخلات!$J$56,""))),"")</f>
        <v>208.33333333333334</v>
      </c>
      <c r="M82" s="6" t="str">
        <f>IF(B82&lt;&gt;"",IF(AND(المدخلات!$H$57="سنوي",MOD(B82,12)=0),المدخلات!$J$57,IF(AND(المدخلات!$H$57="القسط (الدفعة) الاول",B82=1),المدخلات!$J$57,IF(المدخلات!$H$57="شهري",المدخلات!$J$57,""))),"")</f>
        <v/>
      </c>
      <c r="N82" s="6" t="str">
        <f>IF(B82&lt;&gt;"",IF(AND(المدخلات!$H$58="سنوي",MOD(B82,12)=0),المدخلات!$J$58,IF(AND(المدخلات!$H$58="القسط (الدفعة) الاول",B82=1),المدخلات!$J$58,IF(المدخلات!$H$58="شهري",المدخلات!$J$58,IF(AND(المدخلات!$H$58="End of the loan",B82=المدخلات!$E$58),المدخلات!$J$58,"")))),"")</f>
        <v/>
      </c>
      <c r="O82" s="6">
        <f t="shared" si="10"/>
        <v>208.33333333333334</v>
      </c>
      <c r="P82" s="4">
        <f t="shared" si="11"/>
        <v>10525.868335503435</v>
      </c>
      <c r="T82" s="9">
        <f t="shared" ref="T82:T145" si="12">C82</f>
        <v>47268</v>
      </c>
      <c r="U82" s="5">
        <f t="shared" ref="U82:U145" si="13">IFERROR(ROUND(_xlfn.IFNA(VLOOKUP(T82,$C$18:$P$385,14,0),0),2)," ")</f>
        <v>10525.87</v>
      </c>
    </row>
    <row r="83" spans="2:21" x14ac:dyDescent="0.2">
      <c r="B83" s="16">
        <f t="shared" si="6"/>
        <v>66</v>
      </c>
      <c r="C83" s="9">
        <f t="shared" si="7"/>
        <v>47299</v>
      </c>
      <c r="D83" s="6">
        <f>IFERROR((PPMT(المدخلات!$E$55/12,B83,$C$6,المدخلات!$E$54,-المدخلات!$E$65,0))," ")</f>
        <v>-4017.1322739728962</v>
      </c>
      <c r="E83" s="6">
        <f>IFERROR(((IPMT(المدخلات!$E$55/12,B83,$C$6,المدخلات!$E$54,-المدخلات!$E$65,0)))," ")</f>
        <v>-6300.4027281972049</v>
      </c>
      <c r="F83" s="6">
        <f t="shared" si="9"/>
        <v>-229383.80975821879</v>
      </c>
      <c r="G83" s="6">
        <f t="shared" si="8"/>
        <v>-451573.50038500782</v>
      </c>
      <c r="H83" s="6">
        <f t="shared" ref="H83:H146" si="14">+IF(B83=$C$6,(-$C$13+IFERROR(D83+E83,"")),IFERROR(D83+E83,""))</f>
        <v>-10317.535002170102</v>
      </c>
      <c r="I83" s="6">
        <f t="shared" ref="I83:I146" si="15">+IFERROR($C$8+F83,"")</f>
        <v>1370616.1902417813</v>
      </c>
      <c r="J83" s="6" t="str">
        <f>IF(B83&lt;&gt;"",IF(AND(المدخلات!$H$54="سنوي",MOD(B83,12)=0),المدخلات!$J$54,IF(AND(المدخلات!$H$54="القسط (الدفعة) الاول",B83=1),المدخلات!$J$54,IF(المدخلات!$H$54="شهري",المدخلات!$J$54,""))),"")</f>
        <v/>
      </c>
      <c r="K83" s="6" t="str">
        <f>IF(B83&lt;&gt;"",IF(AND(المدخلات!$H$55="سنوي",MOD(B83,12)=0),المدخلات!$J$55,IF(AND(المدخلات!$H$55="القسط (الدفعة) الاول",B83=1),المدخلات!$J$55,IF(المدخلات!$H$55="شهري",المدخلات!$J$55,""))),"")</f>
        <v/>
      </c>
      <c r="L83" s="6">
        <f>IF(B83&lt;&gt;"",IF(AND(المدخلات!$H$56="سنوي",MOD(B83,12)=0),المدخلات!$J$56,IF(AND(المدخلات!$H$56="القسط (الدفعة) الاول",B83=1),المدخلات!$J$56,IF(المدخلات!$H$56="شهري",المدخلات!$J$56,""))),"")</f>
        <v>208.33333333333334</v>
      </c>
      <c r="M83" s="6" t="str">
        <f>IF(B83&lt;&gt;"",IF(AND(المدخلات!$H$57="سنوي",MOD(B83,12)=0),المدخلات!$J$57,IF(AND(المدخلات!$H$57="القسط (الدفعة) الاول",B83=1),المدخلات!$J$57,IF(المدخلات!$H$57="شهري",المدخلات!$J$57,""))),"")</f>
        <v/>
      </c>
      <c r="N83" s="6" t="str">
        <f>IF(B83&lt;&gt;"",IF(AND(المدخلات!$H$58="سنوي",MOD(B83,12)=0),المدخلات!$J$58,IF(AND(المدخلات!$H$58="القسط (الدفعة) الاول",B83=1),المدخلات!$J$58,IF(المدخلات!$H$58="شهري",المدخلات!$J$58,IF(AND(المدخلات!$H$58="End of the loan",B83=المدخلات!$E$58),المدخلات!$J$58,"")))),"")</f>
        <v/>
      </c>
      <c r="O83" s="6">
        <f t="shared" si="10"/>
        <v>208.33333333333334</v>
      </c>
      <c r="P83" s="4">
        <f t="shared" si="11"/>
        <v>10525.868335503435</v>
      </c>
      <c r="T83" s="9">
        <f t="shared" si="12"/>
        <v>47299</v>
      </c>
      <c r="U83" s="5">
        <f t="shared" si="13"/>
        <v>10525.87</v>
      </c>
    </row>
    <row r="84" spans="2:21" x14ac:dyDescent="0.2">
      <c r="B84" s="16">
        <f t="shared" ref="B84:B147" si="16">IF(B83="","",IF((B83+1)&lt;=$C$6,B83+1,""))</f>
        <v>67</v>
      </c>
      <c r="C84" s="9">
        <f t="shared" ref="C84:C147" si="17">IF(B84="","",EDATE($C$18,(B84-1)))</f>
        <v>47329</v>
      </c>
      <c r="D84" s="6">
        <f>IFERROR((PPMT(المدخلات!$E$55/12,B84,$C$6,المدخلات!$E$54,-المدخلات!$E$65,0))," ")</f>
        <v>-4035.5441302286054</v>
      </c>
      <c r="E84" s="6">
        <f>IFERROR(((IPMT(المدخلات!$E$55/12,B84,$C$6,المدخلات!$E$54,-المدخلات!$E$65,0)))," ")</f>
        <v>-6281.9908719414952</v>
      </c>
      <c r="F84" s="6">
        <f t="shared" si="9"/>
        <v>-233419.3538884474</v>
      </c>
      <c r="G84" s="6">
        <f t="shared" ref="G84:G147" si="18">IF(B84&lt;=$C$6,G83+E84,"")</f>
        <v>-457855.49125694932</v>
      </c>
      <c r="H84" s="6">
        <f t="shared" si="14"/>
        <v>-10317.535002170102</v>
      </c>
      <c r="I84" s="6">
        <f t="shared" si="15"/>
        <v>1366580.6461115526</v>
      </c>
      <c r="J84" s="6" t="str">
        <f>IF(B84&lt;&gt;"",IF(AND(المدخلات!$H$54="سنوي",MOD(B84,12)=0),المدخلات!$J$54,IF(AND(المدخلات!$H$54="القسط (الدفعة) الاول",B84=1),المدخلات!$J$54,IF(المدخلات!$H$54="شهري",المدخلات!$J$54,""))),"")</f>
        <v/>
      </c>
      <c r="K84" s="6" t="str">
        <f>IF(B84&lt;&gt;"",IF(AND(المدخلات!$H$55="سنوي",MOD(B84,12)=0),المدخلات!$J$55,IF(AND(المدخلات!$H$55="القسط (الدفعة) الاول",B84=1),المدخلات!$J$55,IF(المدخلات!$H$55="شهري",المدخلات!$J$55,""))),"")</f>
        <v/>
      </c>
      <c r="L84" s="6">
        <f>IF(B84&lt;&gt;"",IF(AND(المدخلات!$H$56="سنوي",MOD(B84,12)=0),المدخلات!$J$56,IF(AND(المدخلات!$H$56="القسط (الدفعة) الاول",B84=1),المدخلات!$J$56,IF(المدخلات!$H$56="شهري",المدخلات!$J$56,""))),"")</f>
        <v>208.33333333333334</v>
      </c>
      <c r="M84" s="6" t="str">
        <f>IF(B84&lt;&gt;"",IF(AND(المدخلات!$H$57="سنوي",MOD(B84,12)=0),المدخلات!$J$57,IF(AND(المدخلات!$H$57="القسط (الدفعة) الاول",B84=1),المدخلات!$J$57,IF(المدخلات!$H$57="شهري",المدخلات!$J$57,""))),"")</f>
        <v/>
      </c>
      <c r="N84" s="6" t="str">
        <f>IF(B84&lt;&gt;"",IF(AND(المدخلات!$H$58="سنوي",MOD(B84,12)=0),المدخلات!$J$58,IF(AND(المدخلات!$H$58="القسط (الدفعة) الاول",B84=1),المدخلات!$J$58,IF(المدخلات!$H$58="شهري",المدخلات!$J$58,IF(AND(المدخلات!$H$58="End of the loan",B84=المدخلات!$E$58),المدخلات!$J$58,"")))),"")</f>
        <v/>
      </c>
      <c r="O84" s="6">
        <f t="shared" si="10"/>
        <v>208.33333333333334</v>
      </c>
      <c r="P84" s="4">
        <f t="shared" si="11"/>
        <v>10525.868335503435</v>
      </c>
      <c r="T84" s="9">
        <f t="shared" si="12"/>
        <v>47329</v>
      </c>
      <c r="U84" s="5">
        <f t="shared" si="13"/>
        <v>10525.87</v>
      </c>
    </row>
    <row r="85" spans="2:21" x14ac:dyDescent="0.2">
      <c r="B85" s="16">
        <f t="shared" si="16"/>
        <v>68</v>
      </c>
      <c r="C85" s="9">
        <f t="shared" si="17"/>
        <v>47360</v>
      </c>
      <c r="D85" s="6">
        <f>IFERROR((PPMT(المدخلات!$E$55/12,B85,$C$6,المدخلات!$E$54,-المدخلات!$E$65,0))," ")</f>
        <v>-4054.0403741588198</v>
      </c>
      <c r="E85" s="6">
        <f>IFERROR(((IPMT(المدخلات!$E$55/12,B85,$C$6,المدخلات!$E$54,-المدخلات!$E$65,0)))," ")</f>
        <v>-6263.4946280112808</v>
      </c>
      <c r="F85" s="6">
        <f t="shared" ref="F85:F148" si="19">IF(B85&lt;=$C$6,F84+D85,"")</f>
        <v>-237473.39426260622</v>
      </c>
      <c r="G85" s="6">
        <f t="shared" si="18"/>
        <v>-464118.98588496062</v>
      </c>
      <c r="H85" s="6">
        <f t="shared" si="14"/>
        <v>-10317.535002170102</v>
      </c>
      <c r="I85" s="6">
        <f t="shared" si="15"/>
        <v>1362526.6057373937</v>
      </c>
      <c r="J85" s="6" t="str">
        <f>IF(B85&lt;&gt;"",IF(AND(المدخلات!$H$54="سنوي",MOD(B85,12)=0),المدخلات!$J$54,IF(AND(المدخلات!$H$54="القسط (الدفعة) الاول",B85=1),المدخلات!$J$54,IF(المدخلات!$H$54="شهري",المدخلات!$J$54,""))),"")</f>
        <v/>
      </c>
      <c r="K85" s="6" t="str">
        <f>IF(B85&lt;&gt;"",IF(AND(المدخلات!$H$55="سنوي",MOD(B85,12)=0),المدخلات!$J$55,IF(AND(المدخلات!$H$55="القسط (الدفعة) الاول",B85=1),المدخلات!$J$55,IF(المدخلات!$H$55="شهري",المدخلات!$J$55,""))),"")</f>
        <v/>
      </c>
      <c r="L85" s="6">
        <f>IF(B85&lt;&gt;"",IF(AND(المدخلات!$H$56="سنوي",MOD(B85,12)=0),المدخلات!$J$56,IF(AND(المدخلات!$H$56="القسط (الدفعة) الاول",B85=1),المدخلات!$J$56,IF(المدخلات!$H$56="شهري",المدخلات!$J$56,""))),"")</f>
        <v>208.33333333333334</v>
      </c>
      <c r="M85" s="6" t="str">
        <f>IF(B85&lt;&gt;"",IF(AND(المدخلات!$H$57="سنوي",MOD(B85,12)=0),المدخلات!$J$57,IF(AND(المدخلات!$H$57="القسط (الدفعة) الاول",B85=1),المدخلات!$J$57,IF(المدخلات!$H$57="شهري",المدخلات!$J$57,""))),"")</f>
        <v/>
      </c>
      <c r="N85" s="6" t="str">
        <f>IF(B85&lt;&gt;"",IF(AND(المدخلات!$H$58="سنوي",MOD(B85,12)=0),المدخلات!$J$58,IF(AND(المدخلات!$H$58="القسط (الدفعة) الاول",B85=1),المدخلات!$J$58,IF(المدخلات!$H$58="شهري",المدخلات!$J$58,IF(AND(المدخلات!$H$58="End of the loan",B85=المدخلات!$E$58),المدخلات!$J$58,"")))),"")</f>
        <v/>
      </c>
      <c r="O85" s="6">
        <f t="shared" si="10"/>
        <v>208.33333333333334</v>
      </c>
      <c r="P85" s="4">
        <f t="shared" si="11"/>
        <v>10525.868335503435</v>
      </c>
      <c r="T85" s="9">
        <f t="shared" si="12"/>
        <v>47360</v>
      </c>
      <c r="U85" s="5">
        <f t="shared" si="13"/>
        <v>10525.87</v>
      </c>
    </row>
    <row r="86" spans="2:21" x14ac:dyDescent="0.2">
      <c r="B86" s="16">
        <f t="shared" si="16"/>
        <v>69</v>
      </c>
      <c r="C86" s="9">
        <f t="shared" si="17"/>
        <v>47391</v>
      </c>
      <c r="D86" s="6">
        <f>IFERROR((PPMT(المدخلات!$E$55/12,B86,$C$6,المدخلات!$E$54,-المدخلات!$E$65,0))," ")</f>
        <v>-4072.6213925403813</v>
      </c>
      <c r="E86" s="6">
        <f>IFERROR(((IPMT(المدخلات!$E$55/12,B86,$C$6,المدخلات!$E$54,-المدخلات!$E$65,0)))," ")</f>
        <v>-6244.9136096297198</v>
      </c>
      <c r="F86" s="6">
        <f t="shared" si="19"/>
        <v>-241546.01565514659</v>
      </c>
      <c r="G86" s="6">
        <f t="shared" si="18"/>
        <v>-470363.89949459035</v>
      </c>
      <c r="H86" s="6">
        <f t="shared" si="14"/>
        <v>-10317.535002170102</v>
      </c>
      <c r="I86" s="6">
        <f t="shared" si="15"/>
        <v>1358453.9843448533</v>
      </c>
      <c r="J86" s="6" t="str">
        <f>IF(B86&lt;&gt;"",IF(AND(المدخلات!$H$54="سنوي",MOD(B86,12)=0),المدخلات!$J$54,IF(AND(المدخلات!$H$54="القسط (الدفعة) الاول",B86=1),المدخلات!$J$54,IF(المدخلات!$H$54="شهري",المدخلات!$J$54,""))),"")</f>
        <v/>
      </c>
      <c r="K86" s="6" t="str">
        <f>IF(B86&lt;&gt;"",IF(AND(المدخلات!$H$55="سنوي",MOD(B86,12)=0),المدخلات!$J$55,IF(AND(المدخلات!$H$55="القسط (الدفعة) الاول",B86=1),المدخلات!$J$55,IF(المدخلات!$H$55="شهري",المدخلات!$J$55,""))),"")</f>
        <v/>
      </c>
      <c r="L86" s="6">
        <f>IF(B86&lt;&gt;"",IF(AND(المدخلات!$H$56="سنوي",MOD(B86,12)=0),المدخلات!$J$56,IF(AND(المدخلات!$H$56="القسط (الدفعة) الاول",B86=1),المدخلات!$J$56,IF(المدخلات!$H$56="شهري",المدخلات!$J$56,""))),"")</f>
        <v>208.33333333333334</v>
      </c>
      <c r="M86" s="6" t="str">
        <f>IF(B86&lt;&gt;"",IF(AND(المدخلات!$H$57="سنوي",MOD(B86,12)=0),المدخلات!$J$57,IF(AND(المدخلات!$H$57="القسط (الدفعة) الاول",B86=1),المدخلات!$J$57,IF(المدخلات!$H$57="شهري",المدخلات!$J$57,""))),"")</f>
        <v/>
      </c>
      <c r="N86" s="6" t="str">
        <f>IF(B86&lt;&gt;"",IF(AND(المدخلات!$H$58="سنوي",MOD(B86,12)=0),المدخلات!$J$58,IF(AND(المدخلات!$H$58="القسط (الدفعة) الاول",B86=1),المدخلات!$J$58,IF(المدخلات!$H$58="شهري",المدخلات!$J$58,IF(AND(المدخلات!$H$58="End of the loan",B86=المدخلات!$E$58),المدخلات!$J$58,"")))),"")</f>
        <v/>
      </c>
      <c r="O86" s="6">
        <f t="shared" si="10"/>
        <v>208.33333333333334</v>
      </c>
      <c r="P86" s="4">
        <f t="shared" si="11"/>
        <v>10525.868335503435</v>
      </c>
      <c r="T86" s="9">
        <f t="shared" si="12"/>
        <v>47391</v>
      </c>
      <c r="U86" s="5">
        <f t="shared" si="13"/>
        <v>10525.87</v>
      </c>
    </row>
    <row r="87" spans="2:21" x14ac:dyDescent="0.2">
      <c r="B87" s="16">
        <f t="shared" si="16"/>
        <v>70</v>
      </c>
      <c r="C87" s="9">
        <f t="shared" si="17"/>
        <v>47421</v>
      </c>
      <c r="D87" s="6">
        <f>IFERROR((PPMT(المدخلات!$E$55/12,B87,$C$6,المدخلات!$E$54,-المدخلات!$E$65,0))," ")</f>
        <v>-4091.287573922858</v>
      </c>
      <c r="E87" s="6">
        <f>IFERROR(((IPMT(المدخلات!$E$55/12,B87,$C$6,المدخلات!$E$54,-المدخلات!$E$65,0)))," ")</f>
        <v>-6226.2474282472431</v>
      </c>
      <c r="F87" s="6">
        <f t="shared" si="19"/>
        <v>-245637.30322906945</v>
      </c>
      <c r="G87" s="6">
        <f t="shared" si="18"/>
        <v>-476590.14692283759</v>
      </c>
      <c r="H87" s="6">
        <f t="shared" si="14"/>
        <v>-10317.535002170102</v>
      </c>
      <c r="I87" s="6">
        <f t="shared" si="15"/>
        <v>1354362.6967709307</v>
      </c>
      <c r="J87" s="6" t="str">
        <f>IF(B87&lt;&gt;"",IF(AND(المدخلات!$H$54="سنوي",MOD(B87,12)=0),المدخلات!$J$54,IF(AND(المدخلات!$H$54="القسط (الدفعة) الاول",B87=1),المدخلات!$J$54,IF(المدخلات!$H$54="شهري",المدخلات!$J$54,""))),"")</f>
        <v/>
      </c>
      <c r="K87" s="6" t="str">
        <f>IF(B87&lt;&gt;"",IF(AND(المدخلات!$H$55="سنوي",MOD(B87,12)=0),المدخلات!$J$55,IF(AND(المدخلات!$H$55="القسط (الدفعة) الاول",B87=1),المدخلات!$J$55,IF(المدخلات!$H$55="شهري",المدخلات!$J$55,""))),"")</f>
        <v/>
      </c>
      <c r="L87" s="6">
        <f>IF(B87&lt;&gt;"",IF(AND(المدخلات!$H$56="سنوي",MOD(B87,12)=0),المدخلات!$J$56,IF(AND(المدخلات!$H$56="القسط (الدفعة) الاول",B87=1),المدخلات!$J$56,IF(المدخلات!$H$56="شهري",المدخلات!$J$56,""))),"")</f>
        <v>208.33333333333334</v>
      </c>
      <c r="M87" s="6" t="str">
        <f>IF(B87&lt;&gt;"",IF(AND(المدخلات!$H$57="سنوي",MOD(B87,12)=0),المدخلات!$J$57,IF(AND(المدخلات!$H$57="القسط (الدفعة) الاول",B87=1),المدخلات!$J$57,IF(المدخلات!$H$57="شهري",المدخلات!$J$57,""))),"")</f>
        <v/>
      </c>
      <c r="N87" s="6" t="str">
        <f>IF(B87&lt;&gt;"",IF(AND(المدخلات!$H$58="سنوي",MOD(B87,12)=0),المدخلات!$J$58,IF(AND(المدخلات!$H$58="القسط (الدفعة) الاول",B87=1),المدخلات!$J$58,IF(المدخلات!$H$58="شهري",المدخلات!$J$58,IF(AND(المدخلات!$H$58="End of the loan",B87=المدخلات!$E$58),المدخلات!$J$58,"")))),"")</f>
        <v/>
      </c>
      <c r="O87" s="6">
        <f t="shared" si="10"/>
        <v>208.33333333333334</v>
      </c>
      <c r="P87" s="4">
        <f t="shared" si="11"/>
        <v>10525.868335503435</v>
      </c>
      <c r="T87" s="9">
        <f t="shared" si="12"/>
        <v>47421</v>
      </c>
      <c r="U87" s="5">
        <f t="shared" si="13"/>
        <v>10525.87</v>
      </c>
    </row>
    <row r="88" spans="2:21" x14ac:dyDescent="0.2">
      <c r="B88" s="16">
        <f t="shared" si="16"/>
        <v>71</v>
      </c>
      <c r="C88" s="9">
        <f t="shared" si="17"/>
        <v>47452</v>
      </c>
      <c r="D88" s="6">
        <f>IFERROR((PPMT(المدخلات!$E$55/12,B88,$C$6,المدخلات!$E$54,-المدخلات!$E$65,0))," ")</f>
        <v>-4110.0393086366712</v>
      </c>
      <c r="E88" s="6">
        <f>IFERROR(((IPMT(المدخلات!$E$55/12,B88,$C$6,المدخلات!$E$54,-المدخلات!$E$65,0)))," ")</f>
        <v>-6207.4956935334303</v>
      </c>
      <c r="F88" s="6">
        <f t="shared" si="19"/>
        <v>-249747.34253770614</v>
      </c>
      <c r="G88" s="6">
        <f t="shared" si="18"/>
        <v>-482797.64261637104</v>
      </c>
      <c r="H88" s="6">
        <f t="shared" si="14"/>
        <v>-10317.535002170102</v>
      </c>
      <c r="I88" s="6">
        <f t="shared" si="15"/>
        <v>1350252.6574622937</v>
      </c>
      <c r="J88" s="6" t="str">
        <f>IF(B88&lt;&gt;"",IF(AND(المدخلات!$H$54="سنوي",MOD(B88,12)=0),المدخلات!$J$54,IF(AND(المدخلات!$H$54="القسط (الدفعة) الاول",B88=1),المدخلات!$J$54,IF(المدخلات!$H$54="شهري",المدخلات!$J$54,""))),"")</f>
        <v/>
      </c>
      <c r="K88" s="6" t="str">
        <f>IF(B88&lt;&gt;"",IF(AND(المدخلات!$H$55="سنوي",MOD(B88,12)=0),المدخلات!$J$55,IF(AND(المدخلات!$H$55="القسط (الدفعة) الاول",B88=1),المدخلات!$J$55,IF(المدخلات!$H$55="شهري",المدخلات!$J$55,""))),"")</f>
        <v/>
      </c>
      <c r="L88" s="6">
        <f>IF(B88&lt;&gt;"",IF(AND(المدخلات!$H$56="سنوي",MOD(B88,12)=0),المدخلات!$J$56,IF(AND(المدخلات!$H$56="القسط (الدفعة) الاول",B88=1),المدخلات!$J$56,IF(المدخلات!$H$56="شهري",المدخلات!$J$56,""))),"")</f>
        <v>208.33333333333334</v>
      </c>
      <c r="M88" s="6" t="str">
        <f>IF(B88&lt;&gt;"",IF(AND(المدخلات!$H$57="سنوي",MOD(B88,12)=0),المدخلات!$J$57,IF(AND(المدخلات!$H$57="القسط (الدفعة) الاول",B88=1),المدخلات!$J$57,IF(المدخلات!$H$57="شهري",المدخلات!$J$57,""))),"")</f>
        <v/>
      </c>
      <c r="N88" s="6" t="str">
        <f>IF(B88&lt;&gt;"",IF(AND(المدخلات!$H$58="سنوي",MOD(B88,12)=0),المدخلات!$J$58,IF(AND(المدخلات!$H$58="القسط (الدفعة) الاول",B88=1),المدخلات!$J$58,IF(المدخلات!$H$58="شهري",المدخلات!$J$58,IF(AND(المدخلات!$H$58="End of the loan",B88=المدخلات!$E$58),المدخلات!$J$58,"")))),"")</f>
        <v/>
      </c>
      <c r="O88" s="6">
        <f t="shared" si="10"/>
        <v>208.33333333333334</v>
      </c>
      <c r="P88" s="4">
        <f t="shared" si="11"/>
        <v>10525.868335503435</v>
      </c>
      <c r="T88" s="9">
        <f t="shared" si="12"/>
        <v>47452</v>
      </c>
      <c r="U88" s="5">
        <f t="shared" si="13"/>
        <v>10525.87</v>
      </c>
    </row>
    <row r="89" spans="2:21" x14ac:dyDescent="0.2">
      <c r="B89" s="16">
        <f t="shared" si="16"/>
        <v>72</v>
      </c>
      <c r="C89" s="9">
        <f t="shared" si="17"/>
        <v>47482</v>
      </c>
      <c r="D89" s="6">
        <f>IFERROR((PPMT(المدخلات!$E$55/12,B89,$C$6,المدخلات!$E$54,-المدخلات!$E$65,0))," ")</f>
        <v>-4128.8769888012557</v>
      </c>
      <c r="E89" s="6">
        <f>IFERROR(((IPMT(المدخلات!$E$55/12,B89,$C$6,المدخلات!$E$54,-المدخلات!$E$65,0)))," ")</f>
        <v>-6188.6580133688449</v>
      </c>
      <c r="F89" s="6">
        <f t="shared" si="19"/>
        <v>-253876.2195265074</v>
      </c>
      <c r="G89" s="6">
        <f t="shared" si="18"/>
        <v>-488986.30062973988</v>
      </c>
      <c r="H89" s="6">
        <f t="shared" si="14"/>
        <v>-10317.535002170102</v>
      </c>
      <c r="I89" s="6">
        <f t="shared" si="15"/>
        <v>1346123.7804734926</v>
      </c>
      <c r="J89" s="6" t="str">
        <f>IF(B89&lt;&gt;"",IF(AND(المدخلات!$H$54="سنوي",MOD(B89,12)=0),المدخلات!$J$54,IF(AND(المدخلات!$H$54="القسط (الدفعة) الاول",B89=1),المدخلات!$J$54,IF(المدخلات!$H$54="شهري",المدخلات!$J$54,""))),"")</f>
        <v/>
      </c>
      <c r="K89" s="6" t="str">
        <f>IF(B89&lt;&gt;"",IF(AND(المدخلات!$H$55="سنوي",MOD(B89,12)=0),المدخلات!$J$55,IF(AND(المدخلات!$H$55="القسط (الدفعة) الاول",B89=1),المدخلات!$J$55,IF(المدخلات!$H$55="شهري",المدخلات!$J$55,""))),"")</f>
        <v/>
      </c>
      <c r="L89" s="6">
        <f>IF(B89&lt;&gt;"",IF(AND(المدخلات!$H$56="سنوي",MOD(B89,12)=0),المدخلات!$J$56,IF(AND(المدخلات!$H$56="القسط (الدفعة) الاول",B89=1),المدخلات!$J$56,IF(المدخلات!$H$56="شهري",المدخلات!$J$56,""))),"")</f>
        <v>208.33333333333334</v>
      </c>
      <c r="M89" s="6" t="str">
        <f>IF(B89&lt;&gt;"",IF(AND(المدخلات!$H$57="سنوي",MOD(B89,12)=0),المدخلات!$J$57,IF(AND(المدخلات!$H$57="القسط (الدفعة) الاول",B89=1),المدخلات!$J$57,IF(المدخلات!$H$57="شهري",المدخلات!$J$57,""))),"")</f>
        <v/>
      </c>
      <c r="N89" s="6">
        <f>IF(B89&lt;&gt;"",IF(AND(المدخلات!$H$58="سنوي",MOD(B89,12)=0),المدخلات!$J$58,IF(AND(المدخلات!$H$58="القسط (الدفعة) الاول",B89=1),المدخلات!$J$58,IF(المدخلات!$H$58="شهري",المدخلات!$J$58,IF(AND(المدخلات!$H$58="End of the loan",B89=المدخلات!$E$58),المدخلات!$J$58,"")))),"")</f>
        <v>0</v>
      </c>
      <c r="O89" s="6">
        <f t="shared" si="10"/>
        <v>208.33333333333334</v>
      </c>
      <c r="P89" s="4">
        <f t="shared" si="11"/>
        <v>10525.868335503435</v>
      </c>
      <c r="T89" s="9">
        <f t="shared" si="12"/>
        <v>47482</v>
      </c>
      <c r="U89" s="5">
        <f t="shared" si="13"/>
        <v>10525.87</v>
      </c>
    </row>
    <row r="90" spans="2:21" x14ac:dyDescent="0.2">
      <c r="B90" s="16">
        <f t="shared" si="16"/>
        <v>73</v>
      </c>
      <c r="C90" s="9">
        <f t="shared" si="17"/>
        <v>47513</v>
      </c>
      <c r="D90" s="6">
        <f>IFERROR((PPMT(المدخلات!$E$55/12,B90,$C$6,المدخلات!$E$54,-المدخلات!$E$65,0))," ")</f>
        <v>-4147.801008333262</v>
      </c>
      <c r="E90" s="6">
        <f>IFERROR(((IPMT(المدخلات!$E$55/12,B90,$C$6,المدخلات!$E$54,-المدخلات!$E$65,0)))," ")</f>
        <v>-6169.7339938368414</v>
      </c>
      <c r="F90" s="6">
        <f t="shared" si="19"/>
        <v>-258024.02053484065</v>
      </c>
      <c r="G90" s="6">
        <f t="shared" si="18"/>
        <v>-495156.03462357674</v>
      </c>
      <c r="H90" s="6">
        <f t="shared" si="14"/>
        <v>-10317.535002170103</v>
      </c>
      <c r="I90" s="6">
        <f t="shared" si="15"/>
        <v>1341975.9794651594</v>
      </c>
      <c r="J90" s="6" t="str">
        <f>IF(B90&lt;&gt;"",IF(AND(المدخلات!$H$54="سنوي",MOD(B90,12)=0),المدخلات!$J$54,IF(AND(المدخلات!$H$54="القسط (الدفعة) الاول",B90=1),المدخلات!$J$54,IF(المدخلات!$H$54="شهري",المدخلات!$J$54,""))),"")</f>
        <v/>
      </c>
      <c r="K90" s="6" t="str">
        <f>IF(B90&lt;&gt;"",IF(AND(المدخلات!$H$55="سنوي",MOD(B90,12)=0),المدخلات!$J$55,IF(AND(المدخلات!$H$55="القسط (الدفعة) الاول",B90=1),المدخلات!$J$55,IF(المدخلات!$H$55="شهري",المدخلات!$J$55,""))),"")</f>
        <v/>
      </c>
      <c r="L90" s="6">
        <f>IF(B90&lt;&gt;"",IF(AND(المدخلات!$H$56="سنوي",MOD(B90,12)=0),المدخلات!$J$56,IF(AND(المدخلات!$H$56="القسط (الدفعة) الاول",B90=1),المدخلات!$J$56,IF(المدخلات!$H$56="شهري",المدخلات!$J$56,""))),"")</f>
        <v>208.33333333333334</v>
      </c>
      <c r="M90" s="6" t="str">
        <f>IF(B90&lt;&gt;"",IF(AND(المدخلات!$H$57="سنوي",MOD(B90,12)=0),المدخلات!$J$57,IF(AND(المدخلات!$H$57="القسط (الدفعة) الاول",B90=1),المدخلات!$J$57,IF(المدخلات!$H$57="شهري",المدخلات!$J$57,""))),"")</f>
        <v/>
      </c>
      <c r="N90" s="6" t="str">
        <f>IF(B90&lt;&gt;"",IF(AND(المدخلات!$H$58="سنوي",MOD(B90,12)=0),المدخلات!$J$58,IF(AND(المدخلات!$H$58="القسط (الدفعة) الاول",B90=1),المدخلات!$J$58,IF(المدخلات!$H$58="شهري",المدخلات!$J$58,IF(AND(المدخلات!$H$58="End of the loan",B90=المدخلات!$E$58),المدخلات!$J$58,"")))),"")</f>
        <v/>
      </c>
      <c r="O90" s="6">
        <f t="shared" si="10"/>
        <v>208.33333333333334</v>
      </c>
      <c r="P90" s="4">
        <f t="shared" si="11"/>
        <v>10525.868335503437</v>
      </c>
      <c r="T90" s="9">
        <f t="shared" si="12"/>
        <v>47513</v>
      </c>
      <c r="U90" s="5">
        <f t="shared" si="13"/>
        <v>10525.87</v>
      </c>
    </row>
    <row r="91" spans="2:21" x14ac:dyDescent="0.2">
      <c r="B91" s="16">
        <f t="shared" si="16"/>
        <v>74</v>
      </c>
      <c r="C91" s="9">
        <f t="shared" si="17"/>
        <v>47542</v>
      </c>
      <c r="D91" s="6">
        <f>IFERROR((PPMT(المدخلات!$E$55/12,B91,$C$6,المدخلات!$E$54,-المدخلات!$E$65,0))," ")</f>
        <v>-4166.8117629547887</v>
      </c>
      <c r="E91" s="6">
        <f>IFERROR(((IPMT(المدخلات!$E$55/12,B91,$C$6,المدخلات!$E$54,-المدخلات!$E$65,0)))," ")</f>
        <v>-6150.7232392153128</v>
      </c>
      <c r="F91" s="6">
        <f t="shared" si="19"/>
        <v>-262190.83229779545</v>
      </c>
      <c r="G91" s="6">
        <f t="shared" si="18"/>
        <v>-501306.75786279206</v>
      </c>
      <c r="H91" s="6">
        <f t="shared" si="14"/>
        <v>-10317.535002170102</v>
      </c>
      <c r="I91" s="6">
        <f t="shared" si="15"/>
        <v>1337809.1677022045</v>
      </c>
      <c r="J91" s="6" t="str">
        <f>IF(B91&lt;&gt;"",IF(AND(المدخلات!$H$54="سنوي",MOD(B91,12)=0),المدخلات!$J$54,IF(AND(المدخلات!$H$54="القسط (الدفعة) الاول",B91=1),المدخلات!$J$54,IF(المدخلات!$H$54="شهري",المدخلات!$J$54,""))),"")</f>
        <v/>
      </c>
      <c r="K91" s="6" t="str">
        <f>IF(B91&lt;&gt;"",IF(AND(المدخلات!$H$55="سنوي",MOD(B91,12)=0),المدخلات!$J$55,IF(AND(المدخلات!$H$55="القسط (الدفعة) الاول",B91=1),المدخلات!$J$55,IF(المدخلات!$H$55="شهري",المدخلات!$J$55,""))),"")</f>
        <v/>
      </c>
      <c r="L91" s="6">
        <f>IF(B91&lt;&gt;"",IF(AND(المدخلات!$H$56="سنوي",MOD(B91,12)=0),المدخلات!$J$56,IF(AND(المدخلات!$H$56="القسط (الدفعة) الاول",B91=1),المدخلات!$J$56,IF(المدخلات!$H$56="شهري",المدخلات!$J$56,""))),"")</f>
        <v>208.33333333333334</v>
      </c>
      <c r="M91" s="6" t="str">
        <f>IF(B91&lt;&gt;"",IF(AND(المدخلات!$H$57="سنوي",MOD(B91,12)=0),المدخلات!$J$57,IF(AND(المدخلات!$H$57="القسط (الدفعة) الاول",B91=1),المدخلات!$J$57,IF(المدخلات!$H$57="شهري",المدخلات!$J$57,""))),"")</f>
        <v/>
      </c>
      <c r="N91" s="6" t="str">
        <f>IF(B91&lt;&gt;"",IF(AND(المدخلات!$H$58="سنوي",MOD(B91,12)=0),المدخلات!$J$58,IF(AND(المدخلات!$H$58="القسط (الدفعة) الاول",B91=1),المدخلات!$J$58,IF(المدخلات!$H$58="شهري",المدخلات!$J$58,IF(AND(المدخلات!$H$58="End of the loan",B91=المدخلات!$E$58),المدخلات!$J$58,"")))),"")</f>
        <v/>
      </c>
      <c r="O91" s="6">
        <f t="shared" si="10"/>
        <v>208.33333333333334</v>
      </c>
      <c r="P91" s="4">
        <f t="shared" si="11"/>
        <v>10525.868335503435</v>
      </c>
      <c r="T91" s="9">
        <f t="shared" si="12"/>
        <v>47542</v>
      </c>
      <c r="U91" s="5">
        <f t="shared" si="13"/>
        <v>10525.87</v>
      </c>
    </row>
    <row r="92" spans="2:21" x14ac:dyDescent="0.2">
      <c r="B92" s="16">
        <f t="shared" si="16"/>
        <v>75</v>
      </c>
      <c r="C92" s="9">
        <f t="shared" si="17"/>
        <v>47572</v>
      </c>
      <c r="D92" s="6">
        <f>IFERROR((PPMT(المدخلات!$E$55/12,B92,$C$6,المدخلات!$E$54,-المدخلات!$E$65,0))," ")</f>
        <v>-4185.9096502016646</v>
      </c>
      <c r="E92" s="6">
        <f>IFERROR(((IPMT(المدخلات!$E$55/12,B92,$C$6,المدخلات!$E$54,-المدخلات!$E$65,0)))," ")</f>
        <v>-6131.6253519684369</v>
      </c>
      <c r="F92" s="6">
        <f t="shared" si="19"/>
        <v>-266376.74194799713</v>
      </c>
      <c r="G92" s="6">
        <f t="shared" si="18"/>
        <v>-507438.38321476051</v>
      </c>
      <c r="H92" s="6">
        <f t="shared" si="14"/>
        <v>-10317.535002170102</v>
      </c>
      <c r="I92" s="6">
        <f t="shared" si="15"/>
        <v>1333623.2580520029</v>
      </c>
      <c r="J92" s="6" t="str">
        <f>IF(B92&lt;&gt;"",IF(AND(المدخلات!$H$54="سنوي",MOD(B92,12)=0),المدخلات!$J$54,IF(AND(المدخلات!$H$54="القسط (الدفعة) الاول",B92=1),المدخلات!$J$54,IF(المدخلات!$H$54="شهري",المدخلات!$J$54,""))),"")</f>
        <v/>
      </c>
      <c r="K92" s="6" t="str">
        <f>IF(B92&lt;&gt;"",IF(AND(المدخلات!$H$55="سنوي",MOD(B92,12)=0),المدخلات!$J$55,IF(AND(المدخلات!$H$55="القسط (الدفعة) الاول",B92=1),المدخلات!$J$55,IF(المدخلات!$H$55="شهري",المدخلات!$J$55,""))),"")</f>
        <v/>
      </c>
      <c r="L92" s="6">
        <f>IF(B92&lt;&gt;"",IF(AND(المدخلات!$H$56="سنوي",MOD(B92,12)=0),المدخلات!$J$56,IF(AND(المدخلات!$H$56="القسط (الدفعة) الاول",B92=1),المدخلات!$J$56,IF(المدخلات!$H$56="شهري",المدخلات!$J$56,""))),"")</f>
        <v>208.33333333333334</v>
      </c>
      <c r="M92" s="6" t="str">
        <f>IF(B92&lt;&gt;"",IF(AND(المدخلات!$H$57="سنوي",MOD(B92,12)=0),المدخلات!$J$57,IF(AND(المدخلات!$H$57="القسط (الدفعة) الاول",B92=1),المدخلات!$J$57,IF(المدخلات!$H$57="شهري",المدخلات!$J$57,""))),"")</f>
        <v/>
      </c>
      <c r="N92" s="6" t="str">
        <f>IF(B92&lt;&gt;"",IF(AND(المدخلات!$H$58="سنوي",MOD(B92,12)=0),المدخلات!$J$58,IF(AND(المدخلات!$H$58="القسط (الدفعة) الاول",B92=1),المدخلات!$J$58,IF(المدخلات!$H$58="شهري",المدخلات!$J$58,IF(AND(المدخلات!$H$58="End of the loan",B92=المدخلات!$E$58),المدخلات!$J$58,"")))),"")</f>
        <v/>
      </c>
      <c r="O92" s="6">
        <f t="shared" si="10"/>
        <v>208.33333333333334</v>
      </c>
      <c r="P92" s="4">
        <f t="shared" si="11"/>
        <v>10525.868335503435</v>
      </c>
      <c r="T92" s="9">
        <f t="shared" si="12"/>
        <v>47572</v>
      </c>
      <c r="U92" s="5">
        <f t="shared" si="13"/>
        <v>10525.87</v>
      </c>
    </row>
    <row r="93" spans="2:21" x14ac:dyDescent="0.2">
      <c r="B93" s="16">
        <f t="shared" si="16"/>
        <v>76</v>
      </c>
      <c r="C93" s="9">
        <f t="shared" si="17"/>
        <v>47603</v>
      </c>
      <c r="D93" s="6">
        <f>IFERROR((PPMT(المدخلات!$E$55/12,B93,$C$6,المدخلات!$E$54,-المدخلات!$E$65,0))," ")</f>
        <v>-4205.0950694317562</v>
      </c>
      <c r="E93" s="6">
        <f>IFERROR(((IPMT(المدخلات!$E$55/12,B93,$C$6,المدخلات!$E$54,-المدخلات!$E$65,0)))," ")</f>
        <v>-6112.4399327383453</v>
      </c>
      <c r="F93" s="6">
        <f t="shared" si="19"/>
        <v>-270581.83701742889</v>
      </c>
      <c r="G93" s="6">
        <f t="shared" si="18"/>
        <v>-513550.82314749889</v>
      </c>
      <c r="H93" s="6">
        <f t="shared" si="14"/>
        <v>-10317.535002170102</v>
      </c>
      <c r="I93" s="6">
        <f t="shared" si="15"/>
        <v>1329418.1629825712</v>
      </c>
      <c r="J93" s="6" t="str">
        <f>IF(B93&lt;&gt;"",IF(AND(المدخلات!$H$54="سنوي",MOD(B93,12)=0),المدخلات!$J$54,IF(AND(المدخلات!$H$54="القسط (الدفعة) الاول",B93=1),المدخلات!$J$54,IF(المدخلات!$H$54="شهري",المدخلات!$J$54,""))),"")</f>
        <v/>
      </c>
      <c r="K93" s="6" t="str">
        <f>IF(B93&lt;&gt;"",IF(AND(المدخلات!$H$55="سنوي",MOD(B93,12)=0),المدخلات!$J$55,IF(AND(المدخلات!$H$55="القسط (الدفعة) الاول",B93=1),المدخلات!$J$55,IF(المدخلات!$H$55="شهري",المدخلات!$J$55,""))),"")</f>
        <v/>
      </c>
      <c r="L93" s="6">
        <f>IF(B93&lt;&gt;"",IF(AND(المدخلات!$H$56="سنوي",MOD(B93,12)=0),المدخلات!$J$56,IF(AND(المدخلات!$H$56="القسط (الدفعة) الاول",B93=1),المدخلات!$J$56,IF(المدخلات!$H$56="شهري",المدخلات!$J$56,""))),"")</f>
        <v>208.33333333333334</v>
      </c>
      <c r="M93" s="6" t="str">
        <f>IF(B93&lt;&gt;"",IF(AND(المدخلات!$H$57="سنوي",MOD(B93,12)=0),المدخلات!$J$57,IF(AND(المدخلات!$H$57="القسط (الدفعة) الاول",B93=1),المدخلات!$J$57,IF(المدخلات!$H$57="شهري",المدخلات!$J$57,""))),"")</f>
        <v/>
      </c>
      <c r="N93" s="6" t="str">
        <f>IF(B93&lt;&gt;"",IF(AND(المدخلات!$H$58="سنوي",MOD(B93,12)=0),المدخلات!$J$58,IF(AND(المدخلات!$H$58="القسط (الدفعة) الاول",B93=1),المدخلات!$J$58,IF(المدخلات!$H$58="شهري",المدخلات!$J$58,IF(AND(المدخلات!$H$58="End of the loan",B93=المدخلات!$E$58),المدخلات!$J$58,"")))),"")</f>
        <v/>
      </c>
      <c r="O93" s="6">
        <f t="shared" si="10"/>
        <v>208.33333333333334</v>
      </c>
      <c r="P93" s="4">
        <f t="shared" si="11"/>
        <v>10525.868335503435</v>
      </c>
      <c r="T93" s="9">
        <f t="shared" si="12"/>
        <v>47603</v>
      </c>
      <c r="U93" s="5">
        <f t="shared" si="13"/>
        <v>10525.87</v>
      </c>
    </row>
    <row r="94" spans="2:21" x14ac:dyDescent="0.2">
      <c r="B94" s="16">
        <f t="shared" si="16"/>
        <v>77</v>
      </c>
      <c r="C94" s="9">
        <f t="shared" si="17"/>
        <v>47633</v>
      </c>
      <c r="D94" s="6">
        <f>IFERROR((PPMT(المدخلات!$E$55/12,B94,$C$6,المدخلات!$E$54,-المدخلات!$E$65,0))," ")</f>
        <v>-4224.3684218333183</v>
      </c>
      <c r="E94" s="6">
        <f>IFERROR(((IPMT(المدخلات!$E$55/12,B94,$C$6,المدخلات!$E$54,-المدخلات!$E$65,0)))," ")</f>
        <v>-6093.1665803367832</v>
      </c>
      <c r="F94" s="6">
        <f t="shared" si="19"/>
        <v>-274806.20543926221</v>
      </c>
      <c r="G94" s="6">
        <f t="shared" si="18"/>
        <v>-519643.98972783569</v>
      </c>
      <c r="H94" s="6">
        <f t="shared" si="14"/>
        <v>-10317.535002170102</v>
      </c>
      <c r="I94" s="6">
        <f t="shared" si="15"/>
        <v>1325193.7945607379</v>
      </c>
      <c r="J94" s="6" t="str">
        <f>IF(B94&lt;&gt;"",IF(AND(المدخلات!$H$54="سنوي",MOD(B94,12)=0),المدخلات!$J$54,IF(AND(المدخلات!$H$54="القسط (الدفعة) الاول",B94=1),المدخلات!$J$54,IF(المدخلات!$H$54="شهري",المدخلات!$J$54,""))),"")</f>
        <v/>
      </c>
      <c r="K94" s="6" t="str">
        <f>IF(B94&lt;&gt;"",IF(AND(المدخلات!$H$55="سنوي",MOD(B94,12)=0),المدخلات!$J$55,IF(AND(المدخلات!$H$55="القسط (الدفعة) الاول",B94=1),المدخلات!$J$55,IF(المدخلات!$H$55="شهري",المدخلات!$J$55,""))),"")</f>
        <v/>
      </c>
      <c r="L94" s="6">
        <f>IF(B94&lt;&gt;"",IF(AND(المدخلات!$H$56="سنوي",MOD(B94,12)=0),المدخلات!$J$56,IF(AND(المدخلات!$H$56="القسط (الدفعة) الاول",B94=1),المدخلات!$J$56,IF(المدخلات!$H$56="شهري",المدخلات!$J$56,""))),"")</f>
        <v>208.33333333333334</v>
      </c>
      <c r="M94" s="6" t="str">
        <f>IF(B94&lt;&gt;"",IF(AND(المدخلات!$H$57="سنوي",MOD(B94,12)=0),المدخلات!$J$57,IF(AND(المدخلات!$H$57="القسط (الدفعة) الاول",B94=1),المدخلات!$J$57,IF(المدخلات!$H$57="شهري",المدخلات!$J$57,""))),"")</f>
        <v/>
      </c>
      <c r="N94" s="6" t="str">
        <f>IF(B94&lt;&gt;"",IF(AND(المدخلات!$H$58="سنوي",MOD(B94,12)=0),المدخلات!$J$58,IF(AND(المدخلات!$H$58="القسط (الدفعة) الاول",B94=1),المدخلات!$J$58,IF(المدخلات!$H$58="شهري",المدخلات!$J$58,IF(AND(المدخلات!$H$58="End of the loan",B94=المدخلات!$E$58),المدخلات!$J$58,"")))),"")</f>
        <v/>
      </c>
      <c r="O94" s="6">
        <f t="shared" si="10"/>
        <v>208.33333333333334</v>
      </c>
      <c r="P94" s="4">
        <f t="shared" si="11"/>
        <v>10525.868335503435</v>
      </c>
      <c r="T94" s="9">
        <f t="shared" si="12"/>
        <v>47633</v>
      </c>
      <c r="U94" s="5">
        <f t="shared" si="13"/>
        <v>10525.87</v>
      </c>
    </row>
    <row r="95" spans="2:21" x14ac:dyDescent="0.2">
      <c r="B95" s="16">
        <f t="shared" si="16"/>
        <v>78</v>
      </c>
      <c r="C95" s="9">
        <f t="shared" si="17"/>
        <v>47664</v>
      </c>
      <c r="D95" s="6">
        <f>IFERROR((PPMT(المدخلات!$E$55/12,B95,$C$6,المدخلات!$E$54,-المدخلات!$E$65,0))," ")</f>
        <v>-4243.7301104333874</v>
      </c>
      <c r="E95" s="6">
        <f>IFERROR(((IPMT(المدخلات!$E$55/12,B95,$C$6,المدخلات!$E$54,-المدخلات!$E$65,0)))," ")</f>
        <v>-6073.8048917367141</v>
      </c>
      <c r="F95" s="6">
        <f t="shared" si="19"/>
        <v>-279049.93554969557</v>
      </c>
      <c r="G95" s="6">
        <f t="shared" si="18"/>
        <v>-525717.79461957247</v>
      </c>
      <c r="H95" s="6">
        <f t="shared" si="14"/>
        <v>-10317.535002170102</v>
      </c>
      <c r="I95" s="6">
        <f t="shared" si="15"/>
        <v>1320950.0644503045</v>
      </c>
      <c r="J95" s="6" t="str">
        <f>IF(B95&lt;&gt;"",IF(AND(المدخلات!$H$54="سنوي",MOD(B95,12)=0),المدخلات!$J$54,IF(AND(المدخلات!$H$54="القسط (الدفعة) الاول",B95=1),المدخلات!$J$54,IF(المدخلات!$H$54="شهري",المدخلات!$J$54,""))),"")</f>
        <v/>
      </c>
      <c r="K95" s="6" t="str">
        <f>IF(B95&lt;&gt;"",IF(AND(المدخلات!$H$55="سنوي",MOD(B95,12)=0),المدخلات!$J$55,IF(AND(المدخلات!$H$55="القسط (الدفعة) الاول",B95=1),المدخلات!$J$55,IF(المدخلات!$H$55="شهري",المدخلات!$J$55,""))),"")</f>
        <v/>
      </c>
      <c r="L95" s="6">
        <f>IF(B95&lt;&gt;"",IF(AND(المدخلات!$H$56="سنوي",MOD(B95,12)=0),المدخلات!$J$56,IF(AND(المدخلات!$H$56="القسط (الدفعة) الاول",B95=1),المدخلات!$J$56,IF(المدخلات!$H$56="شهري",المدخلات!$J$56,""))),"")</f>
        <v>208.33333333333334</v>
      </c>
      <c r="M95" s="6" t="str">
        <f>IF(B95&lt;&gt;"",IF(AND(المدخلات!$H$57="سنوي",MOD(B95,12)=0),المدخلات!$J$57,IF(AND(المدخلات!$H$57="القسط (الدفعة) الاول",B95=1),المدخلات!$J$57,IF(المدخلات!$H$57="شهري",المدخلات!$J$57,""))),"")</f>
        <v/>
      </c>
      <c r="N95" s="6" t="str">
        <f>IF(B95&lt;&gt;"",IF(AND(المدخلات!$H$58="سنوي",MOD(B95,12)=0),المدخلات!$J$58,IF(AND(المدخلات!$H$58="القسط (الدفعة) الاول",B95=1),المدخلات!$J$58,IF(المدخلات!$H$58="شهري",المدخلات!$J$58,IF(AND(المدخلات!$H$58="End of the loan",B95=المدخلات!$E$58),المدخلات!$J$58,"")))),"")</f>
        <v/>
      </c>
      <c r="O95" s="6">
        <f t="shared" si="10"/>
        <v>208.33333333333334</v>
      </c>
      <c r="P95" s="4">
        <f t="shared" si="11"/>
        <v>10525.868335503435</v>
      </c>
      <c r="T95" s="9">
        <f t="shared" si="12"/>
        <v>47664</v>
      </c>
      <c r="U95" s="5">
        <f t="shared" si="13"/>
        <v>10525.87</v>
      </c>
    </row>
    <row r="96" spans="2:21" x14ac:dyDescent="0.2">
      <c r="B96" s="16">
        <f t="shared" si="16"/>
        <v>79</v>
      </c>
      <c r="C96" s="9">
        <f t="shared" si="17"/>
        <v>47694</v>
      </c>
      <c r="D96" s="6">
        <f>IFERROR((PPMT(المدخلات!$E$55/12,B96,$C$6,المدخلات!$E$54,-المدخلات!$E$65,0))," ")</f>
        <v>-4263.1805401062065</v>
      </c>
      <c r="E96" s="6">
        <f>IFERROR(((IPMT(المدخلات!$E$55/12,B96,$C$6,المدخلات!$E$54,-المدخلات!$E$65,0)))," ")</f>
        <v>-6054.3544620638932</v>
      </c>
      <c r="F96" s="6">
        <f t="shared" si="19"/>
        <v>-283313.11608980177</v>
      </c>
      <c r="G96" s="6">
        <f t="shared" si="18"/>
        <v>-531772.14908163634</v>
      </c>
      <c r="H96" s="6">
        <f t="shared" si="14"/>
        <v>-10317.5350021701</v>
      </c>
      <c r="I96" s="6">
        <f t="shared" si="15"/>
        <v>1316686.8839101982</v>
      </c>
      <c r="J96" s="6" t="str">
        <f>IF(B96&lt;&gt;"",IF(AND(المدخلات!$H$54="سنوي",MOD(B96,12)=0),المدخلات!$J$54,IF(AND(المدخلات!$H$54="القسط (الدفعة) الاول",B96=1),المدخلات!$J$54,IF(المدخلات!$H$54="شهري",المدخلات!$J$54,""))),"")</f>
        <v/>
      </c>
      <c r="K96" s="6" t="str">
        <f>IF(B96&lt;&gt;"",IF(AND(المدخلات!$H$55="سنوي",MOD(B96,12)=0),المدخلات!$J$55,IF(AND(المدخلات!$H$55="القسط (الدفعة) الاول",B96=1),المدخلات!$J$55,IF(المدخلات!$H$55="شهري",المدخلات!$J$55,""))),"")</f>
        <v/>
      </c>
      <c r="L96" s="6">
        <f>IF(B96&lt;&gt;"",IF(AND(المدخلات!$H$56="سنوي",MOD(B96,12)=0),المدخلات!$J$56,IF(AND(المدخلات!$H$56="القسط (الدفعة) الاول",B96=1),المدخلات!$J$56,IF(المدخلات!$H$56="شهري",المدخلات!$J$56,""))),"")</f>
        <v>208.33333333333334</v>
      </c>
      <c r="M96" s="6" t="str">
        <f>IF(B96&lt;&gt;"",IF(AND(المدخلات!$H$57="سنوي",MOD(B96,12)=0),المدخلات!$J$57,IF(AND(المدخلات!$H$57="القسط (الدفعة) الاول",B96=1),المدخلات!$J$57,IF(المدخلات!$H$57="شهري",المدخلات!$J$57,""))),"")</f>
        <v/>
      </c>
      <c r="N96" s="6" t="str">
        <f>IF(B96&lt;&gt;"",IF(AND(المدخلات!$H$58="سنوي",MOD(B96,12)=0),المدخلات!$J$58,IF(AND(المدخلات!$H$58="القسط (الدفعة) الاول",B96=1),المدخلات!$J$58,IF(المدخلات!$H$58="شهري",المدخلات!$J$58,IF(AND(المدخلات!$H$58="End of the loan",B96=المدخلات!$E$58),المدخلات!$J$58,"")))),"")</f>
        <v/>
      </c>
      <c r="O96" s="6">
        <f t="shared" si="10"/>
        <v>208.33333333333334</v>
      </c>
      <c r="P96" s="4">
        <f t="shared" si="11"/>
        <v>10525.868335503434</v>
      </c>
      <c r="T96" s="9">
        <f t="shared" si="12"/>
        <v>47694</v>
      </c>
      <c r="U96" s="5">
        <f t="shared" si="13"/>
        <v>10525.87</v>
      </c>
    </row>
    <row r="97" spans="2:21" x14ac:dyDescent="0.2">
      <c r="B97" s="16">
        <f t="shared" si="16"/>
        <v>80</v>
      </c>
      <c r="C97" s="9">
        <f t="shared" si="17"/>
        <v>47725</v>
      </c>
      <c r="D97" s="6">
        <f>IFERROR((PPMT(المدخلات!$E$55/12,B97,$C$6,المدخلات!$E$54,-المدخلات!$E$65,0))," ")</f>
        <v>-4282.7201175816936</v>
      </c>
      <c r="E97" s="6">
        <f>IFERROR(((IPMT(المدخلات!$E$55/12,B97,$C$6,المدخلات!$E$54,-المدخلات!$E$65,0)))," ")</f>
        <v>-6034.8148845884089</v>
      </c>
      <c r="F97" s="6">
        <f t="shared" si="19"/>
        <v>-287595.83620738349</v>
      </c>
      <c r="G97" s="6">
        <f t="shared" si="18"/>
        <v>-537806.96396622469</v>
      </c>
      <c r="H97" s="6">
        <f t="shared" si="14"/>
        <v>-10317.535002170102</v>
      </c>
      <c r="I97" s="6">
        <f t="shared" si="15"/>
        <v>1312404.1637926165</v>
      </c>
      <c r="J97" s="6" t="str">
        <f>IF(B97&lt;&gt;"",IF(AND(المدخلات!$H$54="سنوي",MOD(B97,12)=0),المدخلات!$J$54,IF(AND(المدخلات!$H$54="القسط (الدفعة) الاول",B97=1),المدخلات!$J$54,IF(المدخلات!$H$54="شهري",المدخلات!$J$54,""))),"")</f>
        <v/>
      </c>
      <c r="K97" s="6" t="str">
        <f>IF(B97&lt;&gt;"",IF(AND(المدخلات!$H$55="سنوي",MOD(B97,12)=0),المدخلات!$J$55,IF(AND(المدخلات!$H$55="القسط (الدفعة) الاول",B97=1),المدخلات!$J$55,IF(المدخلات!$H$55="شهري",المدخلات!$J$55,""))),"")</f>
        <v/>
      </c>
      <c r="L97" s="6">
        <f>IF(B97&lt;&gt;"",IF(AND(المدخلات!$H$56="سنوي",MOD(B97,12)=0),المدخلات!$J$56,IF(AND(المدخلات!$H$56="القسط (الدفعة) الاول",B97=1),المدخلات!$J$56,IF(المدخلات!$H$56="شهري",المدخلات!$J$56,""))),"")</f>
        <v>208.33333333333334</v>
      </c>
      <c r="M97" s="6" t="str">
        <f>IF(B97&lt;&gt;"",IF(AND(المدخلات!$H$57="سنوي",MOD(B97,12)=0),المدخلات!$J$57,IF(AND(المدخلات!$H$57="القسط (الدفعة) الاول",B97=1),المدخلات!$J$57,IF(المدخلات!$H$57="شهري",المدخلات!$J$57,""))),"")</f>
        <v/>
      </c>
      <c r="N97" s="6" t="str">
        <f>IF(B97&lt;&gt;"",IF(AND(المدخلات!$H$58="سنوي",MOD(B97,12)=0),المدخلات!$J$58,IF(AND(المدخلات!$H$58="القسط (الدفعة) الاول",B97=1),المدخلات!$J$58,IF(المدخلات!$H$58="شهري",المدخلات!$J$58,IF(AND(المدخلات!$H$58="End of the loan",B97=المدخلات!$E$58),المدخلات!$J$58,"")))),"")</f>
        <v/>
      </c>
      <c r="O97" s="6">
        <f t="shared" si="10"/>
        <v>208.33333333333334</v>
      </c>
      <c r="P97" s="4">
        <f t="shared" si="11"/>
        <v>10525.868335503435</v>
      </c>
      <c r="T97" s="9">
        <f t="shared" si="12"/>
        <v>47725</v>
      </c>
      <c r="U97" s="5">
        <f t="shared" si="13"/>
        <v>10525.87</v>
      </c>
    </row>
    <row r="98" spans="2:21" x14ac:dyDescent="0.2">
      <c r="B98" s="16">
        <f t="shared" si="16"/>
        <v>81</v>
      </c>
      <c r="C98" s="9">
        <f t="shared" si="17"/>
        <v>47756</v>
      </c>
      <c r="D98" s="6">
        <f>IFERROR((PPMT(المدخلات!$E$55/12,B98,$C$6,المدخلات!$E$54,-المدخلات!$E$65,0))," ")</f>
        <v>-4302.349251453943</v>
      </c>
      <c r="E98" s="6">
        <f>IFERROR(((IPMT(المدخلات!$E$55/12,B98,$C$6,المدخلات!$E$54,-المدخلات!$E$65,0)))," ")</f>
        <v>-6015.1857507161576</v>
      </c>
      <c r="F98" s="6">
        <f t="shared" si="19"/>
        <v>-291898.18545883743</v>
      </c>
      <c r="G98" s="6">
        <f t="shared" si="18"/>
        <v>-543822.14971694082</v>
      </c>
      <c r="H98" s="6">
        <f t="shared" si="14"/>
        <v>-10317.535002170102</v>
      </c>
      <c r="I98" s="6">
        <f t="shared" si="15"/>
        <v>1308101.8145411625</v>
      </c>
      <c r="J98" s="6" t="str">
        <f>IF(B98&lt;&gt;"",IF(AND(المدخلات!$H$54="سنوي",MOD(B98,12)=0),المدخلات!$J$54,IF(AND(المدخلات!$H$54="القسط (الدفعة) الاول",B98=1),المدخلات!$J$54,IF(المدخلات!$H$54="شهري",المدخلات!$J$54,""))),"")</f>
        <v/>
      </c>
      <c r="K98" s="6" t="str">
        <f>IF(B98&lt;&gt;"",IF(AND(المدخلات!$H$55="سنوي",MOD(B98,12)=0),المدخلات!$J$55,IF(AND(المدخلات!$H$55="القسط (الدفعة) الاول",B98=1),المدخلات!$J$55,IF(المدخلات!$H$55="شهري",المدخلات!$J$55,""))),"")</f>
        <v/>
      </c>
      <c r="L98" s="6">
        <f>IF(B98&lt;&gt;"",IF(AND(المدخلات!$H$56="سنوي",MOD(B98,12)=0),المدخلات!$J$56,IF(AND(المدخلات!$H$56="القسط (الدفعة) الاول",B98=1),المدخلات!$J$56,IF(المدخلات!$H$56="شهري",المدخلات!$J$56,""))),"")</f>
        <v>208.33333333333334</v>
      </c>
      <c r="M98" s="6" t="str">
        <f>IF(B98&lt;&gt;"",IF(AND(المدخلات!$H$57="سنوي",MOD(B98,12)=0),المدخلات!$J$57,IF(AND(المدخلات!$H$57="القسط (الدفعة) الاول",B98=1),المدخلات!$J$57,IF(المدخلات!$H$57="شهري",المدخلات!$J$57,""))),"")</f>
        <v/>
      </c>
      <c r="N98" s="6" t="str">
        <f>IF(B98&lt;&gt;"",IF(AND(المدخلات!$H$58="سنوي",MOD(B98,12)=0),المدخلات!$J$58,IF(AND(المدخلات!$H$58="القسط (الدفعة) الاول",B98=1),المدخلات!$J$58,IF(المدخلات!$H$58="شهري",المدخلات!$J$58,IF(AND(المدخلات!$H$58="End of the loan",B98=المدخلات!$E$58),المدخلات!$J$58,"")))),"")</f>
        <v/>
      </c>
      <c r="O98" s="6">
        <f t="shared" si="10"/>
        <v>208.33333333333334</v>
      </c>
      <c r="P98" s="4">
        <f t="shared" si="11"/>
        <v>10525.868335503435</v>
      </c>
      <c r="T98" s="9">
        <f t="shared" si="12"/>
        <v>47756</v>
      </c>
      <c r="U98" s="5">
        <f t="shared" si="13"/>
        <v>10525.87</v>
      </c>
    </row>
    <row r="99" spans="2:21" x14ac:dyDescent="0.2">
      <c r="B99" s="16">
        <f t="shared" si="16"/>
        <v>82</v>
      </c>
      <c r="C99" s="9">
        <f t="shared" si="17"/>
        <v>47786</v>
      </c>
      <c r="D99" s="6">
        <f>IFERROR((PPMT(المدخلات!$E$55/12,B99,$C$6,المدخلات!$E$54,-المدخلات!$E$65,0))," ")</f>
        <v>-4322.0683521897745</v>
      </c>
      <c r="E99" s="6">
        <f>IFERROR(((IPMT(المدخلات!$E$55/12,B99,$C$6,المدخلات!$E$54,-المدخلات!$E$65,0)))," ")</f>
        <v>-5995.4666499803261</v>
      </c>
      <c r="F99" s="6">
        <f t="shared" si="19"/>
        <v>-296220.25381102721</v>
      </c>
      <c r="G99" s="6">
        <f t="shared" si="18"/>
        <v>-549817.61636692111</v>
      </c>
      <c r="H99" s="6">
        <f t="shared" si="14"/>
        <v>-10317.535002170102</v>
      </c>
      <c r="I99" s="6">
        <f t="shared" si="15"/>
        <v>1303779.7461889728</v>
      </c>
      <c r="J99" s="6" t="str">
        <f>IF(B99&lt;&gt;"",IF(AND(المدخلات!$H$54="سنوي",MOD(B99,12)=0),المدخلات!$J$54,IF(AND(المدخلات!$H$54="القسط (الدفعة) الاول",B99=1),المدخلات!$J$54,IF(المدخلات!$H$54="شهري",المدخلات!$J$54,""))),"")</f>
        <v/>
      </c>
      <c r="K99" s="6" t="str">
        <f>IF(B99&lt;&gt;"",IF(AND(المدخلات!$H$55="سنوي",MOD(B99,12)=0),المدخلات!$J$55,IF(AND(المدخلات!$H$55="القسط (الدفعة) الاول",B99=1),المدخلات!$J$55,IF(المدخلات!$H$55="شهري",المدخلات!$J$55,""))),"")</f>
        <v/>
      </c>
      <c r="L99" s="6">
        <f>IF(B99&lt;&gt;"",IF(AND(المدخلات!$H$56="سنوي",MOD(B99,12)=0),المدخلات!$J$56,IF(AND(المدخلات!$H$56="القسط (الدفعة) الاول",B99=1),المدخلات!$J$56,IF(المدخلات!$H$56="شهري",المدخلات!$J$56,""))),"")</f>
        <v>208.33333333333334</v>
      </c>
      <c r="M99" s="6" t="str">
        <f>IF(B99&lt;&gt;"",IF(AND(المدخلات!$H$57="سنوي",MOD(B99,12)=0),المدخلات!$J$57,IF(AND(المدخلات!$H$57="القسط (الدفعة) الاول",B99=1),المدخلات!$J$57,IF(المدخلات!$H$57="شهري",المدخلات!$J$57,""))),"")</f>
        <v/>
      </c>
      <c r="N99" s="6" t="str">
        <f>IF(B99&lt;&gt;"",IF(AND(المدخلات!$H$58="سنوي",MOD(B99,12)=0),المدخلات!$J$58,IF(AND(المدخلات!$H$58="القسط (الدفعة) الاول",B99=1),المدخلات!$J$58,IF(المدخلات!$H$58="شهري",المدخلات!$J$58,IF(AND(المدخلات!$H$58="End of the loan",B99=المدخلات!$E$58),المدخلات!$J$58,"")))),"")</f>
        <v/>
      </c>
      <c r="O99" s="6">
        <f t="shared" si="10"/>
        <v>208.33333333333334</v>
      </c>
      <c r="P99" s="4">
        <f t="shared" si="11"/>
        <v>10525.868335503435</v>
      </c>
      <c r="T99" s="9">
        <f t="shared" si="12"/>
        <v>47786</v>
      </c>
      <c r="U99" s="5">
        <f t="shared" si="13"/>
        <v>10525.87</v>
      </c>
    </row>
    <row r="100" spans="2:21" x14ac:dyDescent="0.2">
      <c r="B100" s="16">
        <f t="shared" si="16"/>
        <v>83</v>
      </c>
      <c r="C100" s="9">
        <f t="shared" si="17"/>
        <v>47817</v>
      </c>
      <c r="D100" s="6">
        <f>IFERROR((PPMT(المدخلات!$E$55/12,B100,$C$6,المدخلات!$E$54,-المدخلات!$E$65,0))," ")</f>
        <v>-4341.8778321373111</v>
      </c>
      <c r="E100" s="6">
        <f>IFERROR(((IPMT(المدخلات!$E$55/12,B100,$C$6,المدخلات!$E$54,-المدخلات!$E$65,0)))," ")</f>
        <v>-5975.6571700327913</v>
      </c>
      <c r="F100" s="6">
        <f t="shared" si="19"/>
        <v>-300562.13164316455</v>
      </c>
      <c r="G100" s="6">
        <f t="shared" si="18"/>
        <v>-555793.27353695384</v>
      </c>
      <c r="H100" s="6">
        <f t="shared" si="14"/>
        <v>-10317.535002170102</v>
      </c>
      <c r="I100" s="6">
        <f t="shared" si="15"/>
        <v>1299437.8683568356</v>
      </c>
      <c r="J100" s="6" t="str">
        <f>IF(B100&lt;&gt;"",IF(AND(المدخلات!$H$54="سنوي",MOD(B100,12)=0),المدخلات!$J$54,IF(AND(المدخلات!$H$54="القسط (الدفعة) الاول",B100=1),المدخلات!$J$54,IF(المدخلات!$H$54="شهري",المدخلات!$J$54,""))),"")</f>
        <v/>
      </c>
      <c r="K100" s="6" t="str">
        <f>IF(B100&lt;&gt;"",IF(AND(المدخلات!$H$55="سنوي",MOD(B100,12)=0),المدخلات!$J$55,IF(AND(المدخلات!$H$55="القسط (الدفعة) الاول",B100=1),المدخلات!$J$55,IF(المدخلات!$H$55="شهري",المدخلات!$J$55,""))),"")</f>
        <v/>
      </c>
      <c r="L100" s="6">
        <f>IF(B100&lt;&gt;"",IF(AND(المدخلات!$H$56="سنوي",MOD(B100,12)=0),المدخلات!$J$56,IF(AND(المدخلات!$H$56="القسط (الدفعة) الاول",B100=1),المدخلات!$J$56,IF(المدخلات!$H$56="شهري",المدخلات!$J$56,""))),"")</f>
        <v>208.33333333333334</v>
      </c>
      <c r="M100" s="6" t="str">
        <f>IF(B100&lt;&gt;"",IF(AND(المدخلات!$H$57="سنوي",MOD(B100,12)=0),المدخلات!$J$57,IF(AND(المدخلات!$H$57="القسط (الدفعة) الاول",B100=1),المدخلات!$J$57,IF(المدخلات!$H$57="شهري",المدخلات!$J$57,""))),"")</f>
        <v/>
      </c>
      <c r="N100" s="6" t="str">
        <f>IF(B100&lt;&gt;"",IF(AND(المدخلات!$H$58="سنوي",MOD(B100,12)=0),المدخلات!$J$58,IF(AND(المدخلات!$H$58="القسط (الدفعة) الاول",B100=1),المدخلات!$J$58,IF(المدخلات!$H$58="شهري",المدخلات!$J$58,IF(AND(المدخلات!$H$58="End of the loan",B100=المدخلات!$E$58),المدخلات!$J$58,"")))),"")</f>
        <v/>
      </c>
      <c r="O100" s="6">
        <f t="shared" si="10"/>
        <v>208.33333333333334</v>
      </c>
      <c r="P100" s="4">
        <f t="shared" si="11"/>
        <v>10525.868335503435</v>
      </c>
      <c r="T100" s="9">
        <f t="shared" si="12"/>
        <v>47817</v>
      </c>
      <c r="U100" s="5">
        <f t="shared" si="13"/>
        <v>10525.87</v>
      </c>
    </row>
    <row r="101" spans="2:21" x14ac:dyDescent="0.2">
      <c r="B101" s="16">
        <f t="shared" si="16"/>
        <v>84</v>
      </c>
      <c r="C101" s="9">
        <f t="shared" si="17"/>
        <v>47847</v>
      </c>
      <c r="D101" s="6">
        <f>IFERROR((PPMT(المدخلات!$E$55/12,B101,$C$6,المدخلات!$E$54,-المدخلات!$E$65,0))," ")</f>
        <v>-4361.7781055346077</v>
      </c>
      <c r="E101" s="6">
        <f>IFERROR(((IPMT(المدخلات!$E$55/12,B101,$C$6,المدخلات!$E$54,-المدخلات!$E$65,0)))," ")</f>
        <v>-5955.7568966354938</v>
      </c>
      <c r="F101" s="6">
        <f t="shared" si="19"/>
        <v>-304923.90974869917</v>
      </c>
      <c r="G101" s="6">
        <f t="shared" si="18"/>
        <v>-561749.03043358936</v>
      </c>
      <c r="H101" s="6">
        <f t="shared" si="14"/>
        <v>-10317.535002170102</v>
      </c>
      <c r="I101" s="6">
        <f t="shared" si="15"/>
        <v>1295076.0902513009</v>
      </c>
      <c r="J101" s="6" t="str">
        <f>IF(B101&lt;&gt;"",IF(AND(المدخلات!$H$54="سنوي",MOD(B101,12)=0),المدخلات!$J$54,IF(AND(المدخلات!$H$54="القسط (الدفعة) الاول",B101=1),المدخلات!$J$54,IF(المدخلات!$H$54="شهري",المدخلات!$J$54,""))),"")</f>
        <v/>
      </c>
      <c r="K101" s="6" t="str">
        <f>IF(B101&lt;&gt;"",IF(AND(المدخلات!$H$55="سنوي",MOD(B101,12)=0),المدخلات!$J$55,IF(AND(المدخلات!$H$55="القسط (الدفعة) الاول",B101=1),المدخلات!$J$55,IF(المدخلات!$H$55="شهري",المدخلات!$J$55,""))),"")</f>
        <v/>
      </c>
      <c r="L101" s="6">
        <f>IF(B101&lt;&gt;"",IF(AND(المدخلات!$H$56="سنوي",MOD(B101,12)=0),المدخلات!$J$56,IF(AND(المدخلات!$H$56="القسط (الدفعة) الاول",B101=1),المدخلات!$J$56,IF(المدخلات!$H$56="شهري",المدخلات!$J$56,""))),"")</f>
        <v>208.33333333333334</v>
      </c>
      <c r="M101" s="6" t="str">
        <f>IF(B101&lt;&gt;"",IF(AND(المدخلات!$H$57="سنوي",MOD(B101,12)=0),المدخلات!$J$57,IF(AND(المدخلات!$H$57="القسط (الدفعة) الاول",B101=1),المدخلات!$J$57,IF(المدخلات!$H$57="شهري",المدخلات!$J$57,""))),"")</f>
        <v/>
      </c>
      <c r="N101" s="6">
        <f>IF(B101&lt;&gt;"",IF(AND(المدخلات!$H$58="سنوي",MOD(B101,12)=0),المدخلات!$J$58,IF(AND(المدخلات!$H$58="القسط (الدفعة) الاول",B101=1),المدخلات!$J$58,IF(المدخلات!$H$58="شهري",المدخلات!$J$58,IF(AND(المدخلات!$H$58="End of the loan",B101=المدخلات!$E$58),المدخلات!$J$58,"")))),"")</f>
        <v>0</v>
      </c>
      <c r="O101" s="6">
        <f t="shared" si="10"/>
        <v>208.33333333333334</v>
      </c>
      <c r="P101" s="4">
        <f t="shared" si="11"/>
        <v>10525.868335503435</v>
      </c>
      <c r="T101" s="9">
        <f t="shared" si="12"/>
        <v>47847</v>
      </c>
      <c r="U101" s="5">
        <f t="shared" si="13"/>
        <v>10525.87</v>
      </c>
    </row>
    <row r="102" spans="2:21" x14ac:dyDescent="0.2">
      <c r="B102" s="16">
        <f t="shared" si="16"/>
        <v>85</v>
      </c>
      <c r="C102" s="9">
        <f t="shared" si="17"/>
        <v>47878</v>
      </c>
      <c r="D102" s="6">
        <f>IFERROR((PPMT(المدخلات!$E$55/12,B102,$C$6,المدخلات!$E$54,-المدخلات!$E$65,0))," ")</f>
        <v>-4381.7695885183066</v>
      </c>
      <c r="E102" s="6">
        <f>IFERROR(((IPMT(المدخلات!$E$55/12,B102,$C$6,المدخلات!$E$54,-المدخلات!$E$65,0)))," ")</f>
        <v>-5935.765413651794</v>
      </c>
      <c r="F102" s="6">
        <f t="shared" si="19"/>
        <v>-309305.67933721747</v>
      </c>
      <c r="G102" s="6">
        <f t="shared" si="18"/>
        <v>-567684.79584724118</v>
      </c>
      <c r="H102" s="6">
        <f t="shared" si="14"/>
        <v>-10317.535002170102</v>
      </c>
      <c r="I102" s="6">
        <f t="shared" si="15"/>
        <v>1290694.3206627825</v>
      </c>
      <c r="J102" s="6" t="str">
        <f>IF(B102&lt;&gt;"",IF(AND(المدخلات!$H$54="سنوي",MOD(B102,12)=0),المدخلات!$J$54,IF(AND(المدخلات!$H$54="القسط (الدفعة) الاول",B102=1),المدخلات!$J$54,IF(المدخلات!$H$54="شهري",المدخلات!$J$54,""))),"")</f>
        <v/>
      </c>
      <c r="K102" s="6" t="str">
        <f>IF(B102&lt;&gt;"",IF(AND(المدخلات!$H$55="سنوي",MOD(B102,12)=0),المدخلات!$J$55,IF(AND(المدخلات!$H$55="القسط (الدفعة) الاول",B102=1),المدخلات!$J$55,IF(المدخلات!$H$55="شهري",المدخلات!$J$55,""))),"")</f>
        <v/>
      </c>
      <c r="L102" s="6">
        <f>IF(B102&lt;&gt;"",IF(AND(المدخلات!$H$56="سنوي",MOD(B102,12)=0),المدخلات!$J$56,IF(AND(المدخلات!$H$56="القسط (الدفعة) الاول",B102=1),المدخلات!$J$56,IF(المدخلات!$H$56="شهري",المدخلات!$J$56,""))),"")</f>
        <v>208.33333333333334</v>
      </c>
      <c r="M102" s="6" t="str">
        <f>IF(B102&lt;&gt;"",IF(AND(المدخلات!$H$57="سنوي",MOD(B102,12)=0),المدخلات!$J$57,IF(AND(المدخلات!$H$57="القسط (الدفعة) الاول",B102=1),المدخلات!$J$57,IF(المدخلات!$H$57="شهري",المدخلات!$J$57,""))),"")</f>
        <v/>
      </c>
      <c r="N102" s="6" t="str">
        <f>IF(B102&lt;&gt;"",IF(AND(المدخلات!$H$58="سنوي",MOD(B102,12)=0),المدخلات!$J$58,IF(AND(المدخلات!$H$58="القسط (الدفعة) الاول",B102=1),المدخلات!$J$58,IF(المدخلات!$H$58="شهري",المدخلات!$J$58,IF(AND(المدخلات!$H$58="End of the loan",B102=المدخلات!$E$58),المدخلات!$J$58,"")))),"")</f>
        <v/>
      </c>
      <c r="O102" s="6">
        <f t="shared" si="10"/>
        <v>208.33333333333334</v>
      </c>
      <c r="P102" s="4">
        <f t="shared" si="11"/>
        <v>10525.868335503435</v>
      </c>
      <c r="T102" s="9">
        <f t="shared" si="12"/>
        <v>47878</v>
      </c>
      <c r="U102" s="5">
        <f t="shared" si="13"/>
        <v>10525.87</v>
      </c>
    </row>
    <row r="103" spans="2:21" x14ac:dyDescent="0.2">
      <c r="B103" s="16">
        <f t="shared" si="16"/>
        <v>86</v>
      </c>
      <c r="C103" s="9">
        <f t="shared" si="17"/>
        <v>47907</v>
      </c>
      <c r="D103" s="6">
        <f>IFERROR((PPMT(المدخلات!$E$55/12,B103,$C$6,المدخلات!$E$54,-المدخلات!$E$65,0))," ")</f>
        <v>-4401.8526991323497</v>
      </c>
      <c r="E103" s="6">
        <f>IFERROR(((IPMT(المدخلات!$E$55/12,B103,$C$6,المدخلات!$E$54,-المدخلات!$E$65,0)))," ")</f>
        <v>-5915.6823030377518</v>
      </c>
      <c r="F103" s="6">
        <f t="shared" si="19"/>
        <v>-313707.53203634982</v>
      </c>
      <c r="G103" s="6">
        <f t="shared" si="18"/>
        <v>-573600.47815027891</v>
      </c>
      <c r="H103" s="6">
        <f t="shared" si="14"/>
        <v>-10317.535002170102</v>
      </c>
      <c r="I103" s="6">
        <f t="shared" si="15"/>
        <v>1286292.4679636501</v>
      </c>
      <c r="J103" s="6" t="str">
        <f>IF(B103&lt;&gt;"",IF(AND(المدخلات!$H$54="سنوي",MOD(B103,12)=0),المدخلات!$J$54,IF(AND(المدخلات!$H$54="القسط (الدفعة) الاول",B103=1),المدخلات!$J$54,IF(المدخلات!$H$54="شهري",المدخلات!$J$54,""))),"")</f>
        <v/>
      </c>
      <c r="K103" s="6" t="str">
        <f>IF(B103&lt;&gt;"",IF(AND(المدخلات!$H$55="سنوي",MOD(B103,12)=0),المدخلات!$J$55,IF(AND(المدخلات!$H$55="القسط (الدفعة) الاول",B103=1),المدخلات!$J$55,IF(المدخلات!$H$55="شهري",المدخلات!$J$55,""))),"")</f>
        <v/>
      </c>
      <c r="L103" s="6">
        <f>IF(B103&lt;&gt;"",IF(AND(المدخلات!$H$56="سنوي",MOD(B103,12)=0),المدخلات!$J$56,IF(AND(المدخلات!$H$56="القسط (الدفعة) الاول",B103=1),المدخلات!$J$56,IF(المدخلات!$H$56="شهري",المدخلات!$J$56,""))),"")</f>
        <v>208.33333333333334</v>
      </c>
      <c r="M103" s="6" t="str">
        <f>IF(B103&lt;&gt;"",IF(AND(المدخلات!$H$57="سنوي",MOD(B103,12)=0),المدخلات!$J$57,IF(AND(المدخلات!$H$57="القسط (الدفعة) الاول",B103=1),المدخلات!$J$57,IF(المدخلات!$H$57="شهري",المدخلات!$J$57,""))),"")</f>
        <v/>
      </c>
      <c r="N103" s="6" t="str">
        <f>IF(B103&lt;&gt;"",IF(AND(المدخلات!$H$58="سنوي",MOD(B103,12)=0),المدخلات!$J$58,IF(AND(المدخلات!$H$58="القسط (الدفعة) الاول",B103=1),المدخلات!$J$58,IF(المدخلات!$H$58="شهري",المدخلات!$J$58,IF(AND(المدخلات!$H$58="End of the loan",B103=المدخلات!$E$58),المدخلات!$J$58,"")))),"")</f>
        <v/>
      </c>
      <c r="O103" s="6">
        <f t="shared" si="10"/>
        <v>208.33333333333334</v>
      </c>
      <c r="P103" s="4">
        <f t="shared" si="11"/>
        <v>10525.868335503435</v>
      </c>
      <c r="T103" s="9">
        <f t="shared" si="12"/>
        <v>47907</v>
      </c>
      <c r="U103" s="5">
        <f t="shared" si="13"/>
        <v>10525.87</v>
      </c>
    </row>
    <row r="104" spans="2:21" x14ac:dyDescent="0.2">
      <c r="B104" s="16">
        <f t="shared" si="16"/>
        <v>87</v>
      </c>
      <c r="C104" s="9">
        <f t="shared" si="17"/>
        <v>47937</v>
      </c>
      <c r="D104" s="6">
        <f>IFERROR((PPMT(المدخلات!$E$55/12,B104,$C$6,المدخلات!$E$54,-المدخلات!$E$65,0))," ")</f>
        <v>-4422.0278573367059</v>
      </c>
      <c r="E104" s="6">
        <f>IFERROR(((IPMT(المدخلات!$E$55/12,B104,$C$6,المدخلات!$E$54,-المدخلات!$E$65,0)))," ")</f>
        <v>-5895.5071448333956</v>
      </c>
      <c r="F104" s="6">
        <f t="shared" si="19"/>
        <v>-318129.5598936865</v>
      </c>
      <c r="G104" s="6">
        <f t="shared" si="18"/>
        <v>-579495.98529511236</v>
      </c>
      <c r="H104" s="6">
        <f t="shared" si="14"/>
        <v>-10317.535002170102</v>
      </c>
      <c r="I104" s="6">
        <f t="shared" si="15"/>
        <v>1281870.4401063134</v>
      </c>
      <c r="J104" s="6" t="str">
        <f>IF(B104&lt;&gt;"",IF(AND(المدخلات!$H$54="سنوي",MOD(B104,12)=0),المدخلات!$J$54,IF(AND(المدخلات!$H$54="القسط (الدفعة) الاول",B104=1),المدخلات!$J$54,IF(المدخلات!$H$54="شهري",المدخلات!$J$54,""))),"")</f>
        <v/>
      </c>
      <c r="K104" s="6" t="str">
        <f>IF(B104&lt;&gt;"",IF(AND(المدخلات!$H$55="سنوي",MOD(B104,12)=0),المدخلات!$J$55,IF(AND(المدخلات!$H$55="القسط (الدفعة) الاول",B104=1),المدخلات!$J$55,IF(المدخلات!$H$55="شهري",المدخلات!$J$55,""))),"")</f>
        <v/>
      </c>
      <c r="L104" s="6">
        <f>IF(B104&lt;&gt;"",IF(AND(المدخلات!$H$56="سنوي",MOD(B104,12)=0),المدخلات!$J$56,IF(AND(المدخلات!$H$56="القسط (الدفعة) الاول",B104=1),المدخلات!$J$56,IF(المدخلات!$H$56="شهري",المدخلات!$J$56,""))),"")</f>
        <v>208.33333333333334</v>
      </c>
      <c r="M104" s="6" t="str">
        <f>IF(B104&lt;&gt;"",IF(AND(المدخلات!$H$57="سنوي",MOD(B104,12)=0),المدخلات!$J$57,IF(AND(المدخلات!$H$57="القسط (الدفعة) الاول",B104=1),المدخلات!$J$57,IF(المدخلات!$H$57="شهري",المدخلات!$J$57,""))),"")</f>
        <v/>
      </c>
      <c r="N104" s="6" t="str">
        <f>IF(B104&lt;&gt;"",IF(AND(المدخلات!$H$58="سنوي",MOD(B104,12)=0),المدخلات!$J$58,IF(AND(المدخلات!$H$58="القسط (الدفعة) الاول",B104=1),المدخلات!$J$58,IF(المدخلات!$H$58="شهري",المدخلات!$J$58,IF(AND(المدخلات!$H$58="End of the loan",B104=المدخلات!$E$58),المدخلات!$J$58,"")))),"")</f>
        <v/>
      </c>
      <c r="O104" s="6">
        <f t="shared" si="10"/>
        <v>208.33333333333334</v>
      </c>
      <c r="P104" s="4">
        <f t="shared" si="11"/>
        <v>10525.868335503435</v>
      </c>
      <c r="T104" s="9">
        <f t="shared" si="12"/>
        <v>47937</v>
      </c>
      <c r="U104" s="5">
        <f t="shared" si="13"/>
        <v>10525.87</v>
      </c>
    </row>
    <row r="105" spans="2:21" x14ac:dyDescent="0.2">
      <c r="B105" s="16">
        <f t="shared" si="16"/>
        <v>88</v>
      </c>
      <c r="C105" s="9">
        <f t="shared" si="17"/>
        <v>47968</v>
      </c>
      <c r="D105" s="6">
        <f>IFERROR((PPMT(المدخلات!$E$55/12,B105,$C$6,المدخلات!$E$54,-المدخلات!$E$65,0))," ")</f>
        <v>-4442.295485016165</v>
      </c>
      <c r="E105" s="6">
        <f>IFERROR(((IPMT(المدخلات!$E$55/12,B105,$C$6,المدخلات!$E$54,-المدخلات!$E$65,0)))," ")</f>
        <v>-5875.2395171539356</v>
      </c>
      <c r="F105" s="6">
        <f t="shared" si="19"/>
        <v>-322571.85537870269</v>
      </c>
      <c r="G105" s="6">
        <f t="shared" si="18"/>
        <v>-585371.2248122663</v>
      </c>
      <c r="H105" s="6">
        <f t="shared" si="14"/>
        <v>-10317.535002170102</v>
      </c>
      <c r="I105" s="6">
        <f t="shared" si="15"/>
        <v>1277428.1446212973</v>
      </c>
      <c r="J105" s="6" t="str">
        <f>IF(B105&lt;&gt;"",IF(AND(المدخلات!$H$54="سنوي",MOD(B105,12)=0),المدخلات!$J$54,IF(AND(المدخلات!$H$54="القسط (الدفعة) الاول",B105=1),المدخلات!$J$54,IF(المدخلات!$H$54="شهري",المدخلات!$J$54,""))),"")</f>
        <v/>
      </c>
      <c r="K105" s="6" t="str">
        <f>IF(B105&lt;&gt;"",IF(AND(المدخلات!$H$55="سنوي",MOD(B105,12)=0),المدخلات!$J$55,IF(AND(المدخلات!$H$55="القسط (الدفعة) الاول",B105=1),المدخلات!$J$55,IF(المدخلات!$H$55="شهري",المدخلات!$J$55,""))),"")</f>
        <v/>
      </c>
      <c r="L105" s="6">
        <f>IF(B105&lt;&gt;"",IF(AND(المدخلات!$H$56="سنوي",MOD(B105,12)=0),المدخلات!$J$56,IF(AND(المدخلات!$H$56="القسط (الدفعة) الاول",B105=1),المدخلات!$J$56,IF(المدخلات!$H$56="شهري",المدخلات!$J$56,""))),"")</f>
        <v>208.33333333333334</v>
      </c>
      <c r="M105" s="6" t="str">
        <f>IF(B105&lt;&gt;"",IF(AND(المدخلات!$H$57="سنوي",MOD(B105,12)=0),المدخلات!$J$57,IF(AND(المدخلات!$H$57="القسط (الدفعة) الاول",B105=1),المدخلات!$J$57,IF(المدخلات!$H$57="شهري",المدخلات!$J$57,""))),"")</f>
        <v/>
      </c>
      <c r="N105" s="6" t="str">
        <f>IF(B105&lt;&gt;"",IF(AND(المدخلات!$H$58="سنوي",MOD(B105,12)=0),المدخلات!$J$58,IF(AND(المدخلات!$H$58="القسط (الدفعة) الاول",B105=1),المدخلات!$J$58,IF(المدخلات!$H$58="شهري",المدخلات!$J$58,IF(AND(المدخلات!$H$58="End of the loan",B105=المدخلات!$E$58),المدخلات!$J$58,"")))),"")</f>
        <v/>
      </c>
      <c r="O105" s="6">
        <f t="shared" si="10"/>
        <v>208.33333333333334</v>
      </c>
      <c r="P105" s="4">
        <f t="shared" si="11"/>
        <v>10525.868335503435</v>
      </c>
      <c r="T105" s="9">
        <f t="shared" si="12"/>
        <v>47968</v>
      </c>
      <c r="U105" s="5">
        <f t="shared" si="13"/>
        <v>10525.87</v>
      </c>
    </row>
    <row r="106" spans="2:21" x14ac:dyDescent="0.2">
      <c r="B106" s="16">
        <f t="shared" si="16"/>
        <v>89</v>
      </c>
      <c r="C106" s="9">
        <f t="shared" si="17"/>
        <v>47998</v>
      </c>
      <c r="D106" s="6">
        <f>IFERROR((PPMT(المدخلات!$E$55/12,B106,$C$6,المدخلات!$E$54,-المدخلات!$E$65,0))," ")</f>
        <v>-4462.6560059891563</v>
      </c>
      <c r="E106" s="6">
        <f>IFERROR(((IPMT(المدخلات!$E$55/12,B106,$C$6,المدخلات!$E$54,-المدخلات!$E$65,0)))," ")</f>
        <v>-5854.8789961809462</v>
      </c>
      <c r="F106" s="6">
        <f t="shared" si="19"/>
        <v>-327034.51138469187</v>
      </c>
      <c r="G106" s="6">
        <f t="shared" si="18"/>
        <v>-591226.10380844725</v>
      </c>
      <c r="H106" s="6">
        <f t="shared" si="14"/>
        <v>-10317.535002170102</v>
      </c>
      <c r="I106" s="6">
        <f t="shared" si="15"/>
        <v>1272965.4886153082</v>
      </c>
      <c r="J106" s="6" t="str">
        <f>IF(B106&lt;&gt;"",IF(AND(المدخلات!$H$54="سنوي",MOD(B106,12)=0),المدخلات!$J$54,IF(AND(المدخلات!$H$54="القسط (الدفعة) الاول",B106=1),المدخلات!$J$54,IF(المدخلات!$H$54="شهري",المدخلات!$J$54,""))),"")</f>
        <v/>
      </c>
      <c r="K106" s="6" t="str">
        <f>IF(B106&lt;&gt;"",IF(AND(المدخلات!$H$55="سنوي",MOD(B106,12)=0),المدخلات!$J$55,IF(AND(المدخلات!$H$55="القسط (الدفعة) الاول",B106=1),المدخلات!$J$55,IF(المدخلات!$H$55="شهري",المدخلات!$J$55,""))),"")</f>
        <v/>
      </c>
      <c r="L106" s="6">
        <f>IF(B106&lt;&gt;"",IF(AND(المدخلات!$H$56="سنوي",MOD(B106,12)=0),المدخلات!$J$56,IF(AND(المدخلات!$H$56="القسط (الدفعة) الاول",B106=1),المدخلات!$J$56,IF(المدخلات!$H$56="شهري",المدخلات!$J$56,""))),"")</f>
        <v>208.33333333333334</v>
      </c>
      <c r="M106" s="6" t="str">
        <f>IF(B106&lt;&gt;"",IF(AND(المدخلات!$H$57="سنوي",MOD(B106,12)=0),المدخلات!$J$57,IF(AND(المدخلات!$H$57="القسط (الدفعة) الاول",B106=1),المدخلات!$J$57,IF(المدخلات!$H$57="شهري",المدخلات!$J$57,""))),"")</f>
        <v/>
      </c>
      <c r="N106" s="6" t="str">
        <f>IF(B106&lt;&gt;"",IF(AND(المدخلات!$H$58="سنوي",MOD(B106,12)=0),المدخلات!$J$58,IF(AND(المدخلات!$H$58="القسط (الدفعة) الاول",B106=1),المدخلات!$J$58,IF(المدخلات!$H$58="شهري",المدخلات!$J$58,IF(AND(المدخلات!$H$58="End of the loan",B106=المدخلات!$E$58),المدخلات!$J$58,"")))),"")</f>
        <v/>
      </c>
      <c r="O106" s="6">
        <f t="shared" si="10"/>
        <v>208.33333333333334</v>
      </c>
      <c r="P106" s="4">
        <f t="shared" si="11"/>
        <v>10525.868335503435</v>
      </c>
      <c r="T106" s="9">
        <f t="shared" si="12"/>
        <v>47998</v>
      </c>
      <c r="U106" s="5">
        <f t="shared" si="13"/>
        <v>10525.87</v>
      </c>
    </row>
    <row r="107" spans="2:21" x14ac:dyDescent="0.2">
      <c r="B107" s="16">
        <f t="shared" si="16"/>
        <v>90</v>
      </c>
      <c r="C107" s="9">
        <f t="shared" si="17"/>
        <v>48029</v>
      </c>
      <c r="D107" s="6">
        <f>IFERROR((PPMT(المدخلات!$E$55/12,B107,$C$6,المدخلات!$E$54,-المدخلات!$E$65,0))," ")</f>
        <v>-4483.1098460166068</v>
      </c>
      <c r="E107" s="6">
        <f>IFERROR(((IPMT(المدخلات!$E$55/12,B107,$C$6,المدخلات!$E$54,-المدخلات!$E$65,0)))," ")</f>
        <v>-5834.4251561534948</v>
      </c>
      <c r="F107" s="6">
        <f t="shared" si="19"/>
        <v>-331517.62123070849</v>
      </c>
      <c r="G107" s="6">
        <f t="shared" si="18"/>
        <v>-597060.52896460076</v>
      </c>
      <c r="H107" s="6">
        <f t="shared" si="14"/>
        <v>-10317.535002170102</v>
      </c>
      <c r="I107" s="6">
        <f t="shared" si="15"/>
        <v>1268482.3787692916</v>
      </c>
      <c r="J107" s="6" t="str">
        <f>IF(B107&lt;&gt;"",IF(AND(المدخلات!$H$54="سنوي",MOD(B107,12)=0),المدخلات!$J$54,IF(AND(المدخلات!$H$54="القسط (الدفعة) الاول",B107=1),المدخلات!$J$54,IF(المدخلات!$H$54="شهري",المدخلات!$J$54,""))),"")</f>
        <v/>
      </c>
      <c r="K107" s="6" t="str">
        <f>IF(B107&lt;&gt;"",IF(AND(المدخلات!$H$55="سنوي",MOD(B107,12)=0),المدخلات!$J$55,IF(AND(المدخلات!$H$55="القسط (الدفعة) الاول",B107=1),المدخلات!$J$55,IF(المدخلات!$H$55="شهري",المدخلات!$J$55,""))),"")</f>
        <v/>
      </c>
      <c r="L107" s="6">
        <f>IF(B107&lt;&gt;"",IF(AND(المدخلات!$H$56="سنوي",MOD(B107,12)=0),المدخلات!$J$56,IF(AND(المدخلات!$H$56="القسط (الدفعة) الاول",B107=1),المدخلات!$J$56,IF(المدخلات!$H$56="شهري",المدخلات!$J$56,""))),"")</f>
        <v>208.33333333333334</v>
      </c>
      <c r="M107" s="6" t="str">
        <f>IF(B107&lt;&gt;"",IF(AND(المدخلات!$H$57="سنوي",MOD(B107,12)=0),المدخلات!$J$57,IF(AND(المدخلات!$H$57="القسط (الدفعة) الاول",B107=1),المدخلات!$J$57,IF(المدخلات!$H$57="شهري",المدخلات!$J$57,""))),"")</f>
        <v/>
      </c>
      <c r="N107" s="6" t="str">
        <f>IF(B107&lt;&gt;"",IF(AND(المدخلات!$H$58="سنوي",MOD(B107,12)=0),المدخلات!$J$58,IF(AND(المدخلات!$H$58="القسط (الدفعة) الاول",B107=1),المدخلات!$J$58,IF(المدخلات!$H$58="شهري",المدخلات!$J$58,IF(AND(المدخلات!$H$58="End of the loan",B107=المدخلات!$E$58),المدخلات!$J$58,"")))),"")</f>
        <v/>
      </c>
      <c r="O107" s="6">
        <f t="shared" si="10"/>
        <v>208.33333333333334</v>
      </c>
      <c r="P107" s="4">
        <f t="shared" si="11"/>
        <v>10525.868335503435</v>
      </c>
      <c r="T107" s="9">
        <f t="shared" si="12"/>
        <v>48029</v>
      </c>
      <c r="U107" s="5">
        <f t="shared" si="13"/>
        <v>10525.87</v>
      </c>
    </row>
    <row r="108" spans="2:21" x14ac:dyDescent="0.2">
      <c r="B108" s="16">
        <f t="shared" si="16"/>
        <v>91</v>
      </c>
      <c r="C108" s="9">
        <f t="shared" si="17"/>
        <v>48059</v>
      </c>
      <c r="D108" s="6">
        <f>IFERROR((PPMT(المدخلات!$E$55/12,B108,$C$6,المدخلات!$E$54,-المدخلات!$E$65,0))," ")</f>
        <v>-4503.6574328108491</v>
      </c>
      <c r="E108" s="6">
        <f>IFERROR(((IPMT(المدخلات!$E$55/12,B108,$C$6,المدخلات!$E$54,-المدخلات!$E$65,0)))," ")</f>
        <v>-5813.8775693592506</v>
      </c>
      <c r="F108" s="6">
        <f t="shared" si="19"/>
        <v>-336021.27866351936</v>
      </c>
      <c r="G108" s="6">
        <f t="shared" si="18"/>
        <v>-602874.40653396002</v>
      </c>
      <c r="H108" s="6">
        <f t="shared" si="14"/>
        <v>-10317.5350021701</v>
      </c>
      <c r="I108" s="6">
        <f t="shared" si="15"/>
        <v>1263978.7213364807</v>
      </c>
      <c r="J108" s="6" t="str">
        <f>IF(B108&lt;&gt;"",IF(AND(المدخلات!$H$54="سنوي",MOD(B108,12)=0),المدخلات!$J$54,IF(AND(المدخلات!$H$54="القسط (الدفعة) الاول",B108=1),المدخلات!$J$54,IF(المدخلات!$H$54="شهري",المدخلات!$J$54,""))),"")</f>
        <v/>
      </c>
      <c r="K108" s="6" t="str">
        <f>IF(B108&lt;&gt;"",IF(AND(المدخلات!$H$55="سنوي",MOD(B108,12)=0),المدخلات!$J$55,IF(AND(المدخلات!$H$55="القسط (الدفعة) الاول",B108=1),المدخلات!$J$55,IF(المدخلات!$H$55="شهري",المدخلات!$J$55,""))),"")</f>
        <v/>
      </c>
      <c r="L108" s="6">
        <f>IF(B108&lt;&gt;"",IF(AND(المدخلات!$H$56="سنوي",MOD(B108,12)=0),المدخلات!$J$56,IF(AND(المدخلات!$H$56="القسط (الدفعة) الاول",B108=1),المدخلات!$J$56,IF(المدخلات!$H$56="شهري",المدخلات!$J$56,""))),"")</f>
        <v>208.33333333333334</v>
      </c>
      <c r="M108" s="6" t="str">
        <f>IF(B108&lt;&gt;"",IF(AND(المدخلات!$H$57="سنوي",MOD(B108,12)=0),المدخلات!$J$57,IF(AND(المدخلات!$H$57="القسط (الدفعة) الاول",B108=1),المدخلات!$J$57,IF(المدخلات!$H$57="شهري",المدخلات!$J$57,""))),"")</f>
        <v/>
      </c>
      <c r="N108" s="6" t="str">
        <f>IF(B108&lt;&gt;"",IF(AND(المدخلات!$H$58="سنوي",MOD(B108,12)=0),المدخلات!$J$58,IF(AND(المدخلات!$H$58="القسط (الدفعة) الاول",B108=1),المدخلات!$J$58,IF(المدخلات!$H$58="شهري",المدخلات!$J$58,IF(AND(المدخلات!$H$58="End of the loan",B108=المدخلات!$E$58),المدخلات!$J$58,"")))),"")</f>
        <v/>
      </c>
      <c r="O108" s="6">
        <f t="shared" si="10"/>
        <v>208.33333333333334</v>
      </c>
      <c r="P108" s="4">
        <f t="shared" si="11"/>
        <v>10525.868335503434</v>
      </c>
      <c r="T108" s="9">
        <f t="shared" si="12"/>
        <v>48059</v>
      </c>
      <c r="U108" s="5">
        <f t="shared" si="13"/>
        <v>10525.87</v>
      </c>
    </row>
    <row r="109" spans="2:21" x14ac:dyDescent="0.2">
      <c r="B109" s="16">
        <f t="shared" si="16"/>
        <v>92</v>
      </c>
      <c r="C109" s="9">
        <f t="shared" si="17"/>
        <v>48090</v>
      </c>
      <c r="D109" s="6">
        <f>IFERROR((PPMT(المدخلات!$E$55/12,B109,$C$6,المدخلات!$E$54,-المدخلات!$E$65,0))," ")</f>
        <v>-4524.2991960445661</v>
      </c>
      <c r="E109" s="6">
        <f>IFERROR(((IPMT(المدخلات!$E$55/12,B109,$C$6,المدخلات!$E$54,-المدخلات!$E$65,0)))," ")</f>
        <v>-5793.2358061255354</v>
      </c>
      <c r="F109" s="6">
        <f t="shared" si="19"/>
        <v>-340545.57785956393</v>
      </c>
      <c r="G109" s="6">
        <f t="shared" si="18"/>
        <v>-608667.64234008559</v>
      </c>
      <c r="H109" s="6">
        <f t="shared" si="14"/>
        <v>-10317.535002170102</v>
      </c>
      <c r="I109" s="6">
        <f t="shared" si="15"/>
        <v>1259454.422140436</v>
      </c>
      <c r="J109" s="6" t="str">
        <f>IF(B109&lt;&gt;"",IF(AND(المدخلات!$H$54="سنوي",MOD(B109,12)=0),المدخلات!$J$54,IF(AND(المدخلات!$H$54="القسط (الدفعة) الاول",B109=1),المدخلات!$J$54,IF(المدخلات!$H$54="شهري",المدخلات!$J$54,""))),"")</f>
        <v/>
      </c>
      <c r="K109" s="6" t="str">
        <f>IF(B109&lt;&gt;"",IF(AND(المدخلات!$H$55="سنوي",MOD(B109,12)=0),المدخلات!$J$55,IF(AND(المدخلات!$H$55="القسط (الدفعة) الاول",B109=1),المدخلات!$J$55,IF(المدخلات!$H$55="شهري",المدخلات!$J$55,""))),"")</f>
        <v/>
      </c>
      <c r="L109" s="6">
        <f>IF(B109&lt;&gt;"",IF(AND(المدخلات!$H$56="سنوي",MOD(B109,12)=0),المدخلات!$J$56,IF(AND(المدخلات!$H$56="القسط (الدفعة) الاول",B109=1),المدخلات!$J$56,IF(المدخلات!$H$56="شهري",المدخلات!$J$56,""))),"")</f>
        <v>208.33333333333334</v>
      </c>
      <c r="M109" s="6" t="str">
        <f>IF(B109&lt;&gt;"",IF(AND(المدخلات!$H$57="سنوي",MOD(B109,12)=0),المدخلات!$J$57,IF(AND(المدخلات!$H$57="القسط (الدفعة) الاول",B109=1),المدخلات!$J$57,IF(المدخلات!$H$57="شهري",المدخلات!$J$57,""))),"")</f>
        <v/>
      </c>
      <c r="N109" s="6" t="str">
        <f>IF(B109&lt;&gt;"",IF(AND(المدخلات!$H$58="سنوي",MOD(B109,12)=0),المدخلات!$J$58,IF(AND(المدخلات!$H$58="القسط (الدفعة) الاول",B109=1),المدخلات!$J$58,IF(المدخلات!$H$58="شهري",المدخلات!$J$58,IF(AND(المدخلات!$H$58="End of the loan",B109=المدخلات!$E$58),المدخلات!$J$58,"")))),"")</f>
        <v/>
      </c>
      <c r="O109" s="6">
        <f t="shared" si="10"/>
        <v>208.33333333333334</v>
      </c>
      <c r="P109" s="4">
        <f t="shared" si="11"/>
        <v>10525.868335503435</v>
      </c>
      <c r="T109" s="9">
        <f t="shared" si="12"/>
        <v>48090</v>
      </c>
      <c r="U109" s="5">
        <f t="shared" si="13"/>
        <v>10525.87</v>
      </c>
    </row>
    <row r="110" spans="2:21" x14ac:dyDescent="0.2">
      <c r="B110" s="16">
        <f t="shared" si="16"/>
        <v>93</v>
      </c>
      <c r="C110" s="9">
        <f t="shared" si="17"/>
        <v>48121</v>
      </c>
      <c r="D110" s="6">
        <f>IFERROR((PPMT(المدخلات!$E$55/12,B110,$C$6,المدخلات!$E$54,-المدخلات!$E$65,0))," ")</f>
        <v>-4545.0355673597705</v>
      </c>
      <c r="E110" s="6">
        <f>IFERROR(((IPMT(المدخلات!$E$55/12,B110,$C$6,المدخلات!$E$54,-المدخلات!$E$65,0)))," ")</f>
        <v>-5772.4994348103319</v>
      </c>
      <c r="F110" s="6">
        <f t="shared" si="19"/>
        <v>-345090.61342692369</v>
      </c>
      <c r="G110" s="6">
        <f t="shared" si="18"/>
        <v>-614440.14177489595</v>
      </c>
      <c r="H110" s="6">
        <f t="shared" si="14"/>
        <v>-10317.535002170102</v>
      </c>
      <c r="I110" s="6">
        <f t="shared" si="15"/>
        <v>1254909.3865730762</v>
      </c>
      <c r="J110" s="6" t="str">
        <f>IF(B110&lt;&gt;"",IF(AND(المدخلات!$H$54="سنوي",MOD(B110,12)=0),المدخلات!$J$54,IF(AND(المدخلات!$H$54="القسط (الدفعة) الاول",B110=1),المدخلات!$J$54,IF(المدخلات!$H$54="شهري",المدخلات!$J$54,""))),"")</f>
        <v/>
      </c>
      <c r="K110" s="6" t="str">
        <f>IF(B110&lt;&gt;"",IF(AND(المدخلات!$H$55="سنوي",MOD(B110,12)=0),المدخلات!$J$55,IF(AND(المدخلات!$H$55="القسط (الدفعة) الاول",B110=1),المدخلات!$J$55,IF(المدخلات!$H$55="شهري",المدخلات!$J$55,""))),"")</f>
        <v/>
      </c>
      <c r="L110" s="6">
        <f>IF(B110&lt;&gt;"",IF(AND(المدخلات!$H$56="سنوي",MOD(B110,12)=0),المدخلات!$J$56,IF(AND(المدخلات!$H$56="القسط (الدفعة) الاول",B110=1),المدخلات!$J$56,IF(المدخلات!$H$56="شهري",المدخلات!$J$56,""))),"")</f>
        <v>208.33333333333334</v>
      </c>
      <c r="M110" s="6" t="str">
        <f>IF(B110&lt;&gt;"",IF(AND(المدخلات!$H$57="سنوي",MOD(B110,12)=0),المدخلات!$J$57,IF(AND(المدخلات!$H$57="القسط (الدفعة) الاول",B110=1),المدخلات!$J$57,IF(المدخلات!$H$57="شهري",المدخلات!$J$57,""))),"")</f>
        <v/>
      </c>
      <c r="N110" s="6" t="str">
        <f>IF(B110&lt;&gt;"",IF(AND(المدخلات!$H$58="سنوي",MOD(B110,12)=0),المدخلات!$J$58,IF(AND(المدخلات!$H$58="القسط (الدفعة) الاول",B110=1),المدخلات!$J$58,IF(المدخلات!$H$58="شهري",المدخلات!$J$58,IF(AND(المدخلات!$H$58="End of the loan",B110=المدخلات!$E$58),المدخلات!$J$58,"")))),"")</f>
        <v/>
      </c>
      <c r="O110" s="6">
        <f t="shared" si="10"/>
        <v>208.33333333333334</v>
      </c>
      <c r="P110" s="4">
        <f t="shared" si="11"/>
        <v>10525.868335503435</v>
      </c>
      <c r="T110" s="9">
        <f t="shared" si="12"/>
        <v>48121</v>
      </c>
      <c r="U110" s="5">
        <f t="shared" si="13"/>
        <v>10525.87</v>
      </c>
    </row>
    <row r="111" spans="2:21" x14ac:dyDescent="0.2">
      <c r="B111" s="16">
        <f t="shared" si="16"/>
        <v>94</v>
      </c>
      <c r="C111" s="9">
        <f t="shared" si="17"/>
        <v>48151</v>
      </c>
      <c r="D111" s="6">
        <f>IFERROR((PPMT(المدخلات!$E$55/12,B111,$C$6,المدخلات!$E$54,-المدخلات!$E$65,0))," ")</f>
        <v>-4565.8669803768362</v>
      </c>
      <c r="E111" s="6">
        <f>IFERROR(((IPMT(المدخلات!$E$55/12,B111,$C$6,المدخلات!$E$54,-المدخلات!$E$65,0)))," ")</f>
        <v>-5751.6680217932662</v>
      </c>
      <c r="F111" s="6">
        <f t="shared" si="19"/>
        <v>-349656.48040730052</v>
      </c>
      <c r="G111" s="6">
        <f t="shared" si="18"/>
        <v>-620191.80979668919</v>
      </c>
      <c r="H111" s="6">
        <f t="shared" si="14"/>
        <v>-10317.535002170102</v>
      </c>
      <c r="I111" s="6">
        <f t="shared" si="15"/>
        <v>1250343.5195926996</v>
      </c>
      <c r="J111" s="6" t="str">
        <f>IF(B111&lt;&gt;"",IF(AND(المدخلات!$H$54="سنوي",MOD(B111,12)=0),المدخلات!$J$54,IF(AND(المدخلات!$H$54="القسط (الدفعة) الاول",B111=1),المدخلات!$J$54,IF(المدخلات!$H$54="شهري",المدخلات!$J$54,""))),"")</f>
        <v/>
      </c>
      <c r="K111" s="6" t="str">
        <f>IF(B111&lt;&gt;"",IF(AND(المدخلات!$H$55="سنوي",MOD(B111,12)=0),المدخلات!$J$55,IF(AND(المدخلات!$H$55="القسط (الدفعة) الاول",B111=1),المدخلات!$J$55,IF(المدخلات!$H$55="شهري",المدخلات!$J$55,""))),"")</f>
        <v/>
      </c>
      <c r="L111" s="6">
        <f>IF(B111&lt;&gt;"",IF(AND(المدخلات!$H$56="سنوي",MOD(B111,12)=0),المدخلات!$J$56,IF(AND(المدخلات!$H$56="القسط (الدفعة) الاول",B111=1),المدخلات!$J$56,IF(المدخلات!$H$56="شهري",المدخلات!$J$56,""))),"")</f>
        <v>208.33333333333334</v>
      </c>
      <c r="M111" s="6" t="str">
        <f>IF(B111&lt;&gt;"",IF(AND(المدخلات!$H$57="سنوي",MOD(B111,12)=0),المدخلات!$J$57,IF(AND(المدخلات!$H$57="القسط (الدفعة) الاول",B111=1),المدخلات!$J$57,IF(المدخلات!$H$57="شهري",المدخلات!$J$57,""))),"")</f>
        <v/>
      </c>
      <c r="N111" s="6" t="str">
        <f>IF(B111&lt;&gt;"",IF(AND(المدخلات!$H$58="سنوي",MOD(B111,12)=0),المدخلات!$J$58,IF(AND(المدخلات!$H$58="القسط (الدفعة) الاول",B111=1),المدخلات!$J$58,IF(المدخلات!$H$58="شهري",المدخلات!$J$58,IF(AND(المدخلات!$H$58="End of the loan",B111=المدخلات!$E$58),المدخلات!$J$58,"")))),"")</f>
        <v/>
      </c>
      <c r="O111" s="6">
        <f t="shared" si="10"/>
        <v>208.33333333333334</v>
      </c>
      <c r="P111" s="4">
        <f t="shared" si="11"/>
        <v>10525.868335503435</v>
      </c>
      <c r="T111" s="9">
        <f t="shared" si="12"/>
        <v>48151</v>
      </c>
      <c r="U111" s="5">
        <f t="shared" si="13"/>
        <v>10525.87</v>
      </c>
    </row>
    <row r="112" spans="2:21" x14ac:dyDescent="0.2">
      <c r="B112" s="16">
        <f t="shared" si="16"/>
        <v>95</v>
      </c>
      <c r="C112" s="9">
        <f t="shared" si="17"/>
        <v>48182</v>
      </c>
      <c r="D112" s="6">
        <f>IFERROR((PPMT(المدخلات!$E$55/12,B112,$C$6,المدخلات!$E$54,-المدخلات!$E$65,0))," ")</f>
        <v>-4586.7938707035628</v>
      </c>
      <c r="E112" s="6">
        <f>IFERROR(((IPMT(المدخلات!$E$55/12,B112,$C$6,المدخلات!$E$54,-المدخلات!$E$65,0)))," ")</f>
        <v>-5730.7411314665378</v>
      </c>
      <c r="F112" s="6">
        <f t="shared" si="19"/>
        <v>-354243.27427800407</v>
      </c>
      <c r="G112" s="6">
        <f t="shared" si="18"/>
        <v>-625922.55092815578</v>
      </c>
      <c r="H112" s="6">
        <f t="shared" si="14"/>
        <v>-10317.535002170102</v>
      </c>
      <c r="I112" s="6">
        <f t="shared" si="15"/>
        <v>1245756.7257219958</v>
      </c>
      <c r="J112" s="6" t="str">
        <f>IF(B112&lt;&gt;"",IF(AND(المدخلات!$H$54="سنوي",MOD(B112,12)=0),المدخلات!$J$54,IF(AND(المدخلات!$H$54="القسط (الدفعة) الاول",B112=1),المدخلات!$J$54,IF(المدخلات!$H$54="شهري",المدخلات!$J$54,""))),"")</f>
        <v/>
      </c>
      <c r="K112" s="6" t="str">
        <f>IF(B112&lt;&gt;"",IF(AND(المدخلات!$H$55="سنوي",MOD(B112,12)=0),المدخلات!$J$55,IF(AND(المدخلات!$H$55="القسط (الدفعة) الاول",B112=1),المدخلات!$J$55,IF(المدخلات!$H$55="شهري",المدخلات!$J$55,""))),"")</f>
        <v/>
      </c>
      <c r="L112" s="6">
        <f>IF(B112&lt;&gt;"",IF(AND(المدخلات!$H$56="سنوي",MOD(B112,12)=0),المدخلات!$J$56,IF(AND(المدخلات!$H$56="القسط (الدفعة) الاول",B112=1),المدخلات!$J$56,IF(المدخلات!$H$56="شهري",المدخلات!$J$56,""))),"")</f>
        <v>208.33333333333334</v>
      </c>
      <c r="M112" s="6" t="str">
        <f>IF(B112&lt;&gt;"",IF(AND(المدخلات!$H$57="سنوي",MOD(B112,12)=0),المدخلات!$J$57,IF(AND(المدخلات!$H$57="القسط (الدفعة) الاول",B112=1),المدخلات!$J$57,IF(المدخلات!$H$57="شهري",المدخلات!$J$57,""))),"")</f>
        <v/>
      </c>
      <c r="N112" s="6" t="str">
        <f>IF(B112&lt;&gt;"",IF(AND(المدخلات!$H$58="سنوي",MOD(B112,12)=0),المدخلات!$J$58,IF(AND(المدخلات!$H$58="القسط (الدفعة) الاول",B112=1),المدخلات!$J$58,IF(المدخلات!$H$58="شهري",المدخلات!$J$58,IF(AND(المدخلات!$H$58="End of the loan",B112=المدخلات!$E$58),المدخلات!$J$58,"")))),"")</f>
        <v/>
      </c>
      <c r="O112" s="6">
        <f t="shared" si="10"/>
        <v>208.33333333333334</v>
      </c>
      <c r="P112" s="4">
        <f t="shared" si="11"/>
        <v>10525.868335503435</v>
      </c>
      <c r="T112" s="9">
        <f t="shared" si="12"/>
        <v>48182</v>
      </c>
      <c r="U112" s="5">
        <f t="shared" si="13"/>
        <v>10525.87</v>
      </c>
    </row>
    <row r="113" spans="2:21" x14ac:dyDescent="0.2">
      <c r="B113" s="16">
        <f t="shared" si="16"/>
        <v>96</v>
      </c>
      <c r="C113" s="9">
        <f t="shared" si="17"/>
        <v>48212</v>
      </c>
      <c r="D113" s="6">
        <f>IFERROR((PPMT(المدخلات!$E$55/12,B113,$C$6,المدخلات!$E$54,-المدخلات!$E$65,0))," ")</f>
        <v>-4607.8166759442875</v>
      </c>
      <c r="E113" s="6">
        <f>IFERROR(((IPMT(المدخلات!$E$55/12,B113,$C$6,المدخلات!$E$54,-المدخلات!$E$65,0)))," ")</f>
        <v>-5709.7183262258131</v>
      </c>
      <c r="F113" s="6">
        <f t="shared" si="19"/>
        <v>-358851.09095394838</v>
      </c>
      <c r="G113" s="6">
        <f t="shared" si="18"/>
        <v>-631632.26925438154</v>
      </c>
      <c r="H113" s="6">
        <f t="shared" si="14"/>
        <v>-10317.535002170102</v>
      </c>
      <c r="I113" s="6">
        <f t="shared" si="15"/>
        <v>1241148.9090460516</v>
      </c>
      <c r="J113" s="6" t="str">
        <f>IF(B113&lt;&gt;"",IF(AND(المدخلات!$H$54="سنوي",MOD(B113,12)=0),المدخلات!$J$54,IF(AND(المدخلات!$H$54="القسط (الدفعة) الاول",B113=1),المدخلات!$J$54,IF(المدخلات!$H$54="شهري",المدخلات!$J$54,""))),"")</f>
        <v/>
      </c>
      <c r="K113" s="6" t="str">
        <f>IF(B113&lt;&gt;"",IF(AND(المدخلات!$H$55="سنوي",MOD(B113,12)=0),المدخلات!$J$55,IF(AND(المدخلات!$H$55="القسط (الدفعة) الاول",B113=1),المدخلات!$J$55,IF(المدخلات!$H$55="شهري",المدخلات!$J$55,""))),"")</f>
        <v/>
      </c>
      <c r="L113" s="6">
        <f>IF(B113&lt;&gt;"",IF(AND(المدخلات!$H$56="سنوي",MOD(B113,12)=0),المدخلات!$J$56,IF(AND(المدخلات!$H$56="القسط (الدفعة) الاول",B113=1),المدخلات!$J$56,IF(المدخلات!$H$56="شهري",المدخلات!$J$56,""))),"")</f>
        <v>208.33333333333334</v>
      </c>
      <c r="M113" s="6" t="str">
        <f>IF(B113&lt;&gt;"",IF(AND(المدخلات!$H$57="سنوي",MOD(B113,12)=0),المدخلات!$J$57,IF(AND(المدخلات!$H$57="القسط (الدفعة) الاول",B113=1),المدخلات!$J$57,IF(المدخلات!$H$57="شهري",المدخلات!$J$57,""))),"")</f>
        <v/>
      </c>
      <c r="N113" s="6">
        <f>IF(B113&lt;&gt;"",IF(AND(المدخلات!$H$58="سنوي",MOD(B113,12)=0),المدخلات!$J$58,IF(AND(المدخلات!$H$58="القسط (الدفعة) الاول",B113=1),المدخلات!$J$58,IF(المدخلات!$H$58="شهري",المدخلات!$J$58,IF(AND(المدخلات!$H$58="End of the loan",B113=المدخلات!$E$58),المدخلات!$J$58,"")))),"")</f>
        <v>0</v>
      </c>
      <c r="O113" s="6">
        <f t="shared" si="10"/>
        <v>208.33333333333334</v>
      </c>
      <c r="P113" s="4">
        <f t="shared" si="11"/>
        <v>10525.868335503435</v>
      </c>
      <c r="T113" s="9">
        <f t="shared" si="12"/>
        <v>48212</v>
      </c>
      <c r="U113" s="5">
        <f t="shared" si="13"/>
        <v>10525.87</v>
      </c>
    </row>
    <row r="114" spans="2:21" x14ac:dyDescent="0.2">
      <c r="B114" s="16">
        <f t="shared" si="16"/>
        <v>97</v>
      </c>
      <c r="C114" s="9">
        <f t="shared" si="17"/>
        <v>48243</v>
      </c>
      <c r="D114" s="6">
        <f>IFERROR((PPMT(المدخلات!$E$55/12,B114,$C$6,المدخلات!$E$54,-المدخلات!$E$65,0))," ")</f>
        <v>-4628.9358357090323</v>
      </c>
      <c r="E114" s="6">
        <f>IFERROR(((IPMT(المدخلات!$E$55/12,B114,$C$6,المدخلات!$E$54,-المدخلات!$E$65,0)))," ")</f>
        <v>-5688.5991664610692</v>
      </c>
      <c r="F114" s="6">
        <f t="shared" si="19"/>
        <v>-363480.02678965742</v>
      </c>
      <c r="G114" s="6">
        <f t="shared" si="18"/>
        <v>-637320.86842084257</v>
      </c>
      <c r="H114" s="6">
        <f t="shared" si="14"/>
        <v>-10317.535002170102</v>
      </c>
      <c r="I114" s="6">
        <f t="shared" si="15"/>
        <v>1236519.9732103427</v>
      </c>
      <c r="J114" s="6" t="str">
        <f>IF(B114&lt;&gt;"",IF(AND(المدخلات!$H$54="سنوي",MOD(B114,12)=0),المدخلات!$J$54,IF(AND(المدخلات!$H$54="القسط (الدفعة) الاول",B114=1),المدخلات!$J$54,IF(المدخلات!$H$54="شهري",المدخلات!$J$54,""))),"")</f>
        <v/>
      </c>
      <c r="K114" s="6" t="str">
        <f>IF(B114&lt;&gt;"",IF(AND(المدخلات!$H$55="سنوي",MOD(B114,12)=0),المدخلات!$J$55,IF(AND(المدخلات!$H$55="القسط (الدفعة) الاول",B114=1),المدخلات!$J$55,IF(المدخلات!$H$55="شهري",المدخلات!$J$55,""))),"")</f>
        <v/>
      </c>
      <c r="L114" s="6">
        <f>IF(B114&lt;&gt;"",IF(AND(المدخلات!$H$56="سنوي",MOD(B114,12)=0),المدخلات!$J$56,IF(AND(المدخلات!$H$56="القسط (الدفعة) الاول",B114=1),المدخلات!$J$56,IF(المدخلات!$H$56="شهري",المدخلات!$J$56,""))),"")</f>
        <v>208.33333333333334</v>
      </c>
      <c r="M114" s="6" t="str">
        <f>IF(B114&lt;&gt;"",IF(AND(المدخلات!$H$57="سنوي",MOD(B114,12)=0),المدخلات!$J$57,IF(AND(المدخلات!$H$57="القسط (الدفعة) الاول",B114=1),المدخلات!$J$57,IF(المدخلات!$H$57="شهري",المدخلات!$J$57,""))),"")</f>
        <v/>
      </c>
      <c r="N114" s="6" t="str">
        <f>IF(B114&lt;&gt;"",IF(AND(المدخلات!$H$58="سنوي",MOD(B114,12)=0),المدخلات!$J$58,IF(AND(المدخلات!$H$58="القسط (الدفعة) الاول",B114=1),المدخلات!$J$58,IF(المدخلات!$H$58="شهري",المدخلات!$J$58,IF(AND(المدخلات!$H$58="End of the loan",B114=المدخلات!$E$58),المدخلات!$J$58,"")))),"")</f>
        <v/>
      </c>
      <c r="O114" s="6">
        <f t="shared" si="10"/>
        <v>208.33333333333334</v>
      </c>
      <c r="P114" s="4">
        <f t="shared" si="11"/>
        <v>10525.868335503435</v>
      </c>
      <c r="T114" s="9">
        <f t="shared" si="12"/>
        <v>48243</v>
      </c>
      <c r="U114" s="5">
        <f t="shared" si="13"/>
        <v>10525.87</v>
      </c>
    </row>
    <row r="115" spans="2:21" x14ac:dyDescent="0.2">
      <c r="B115" s="16">
        <f t="shared" si="16"/>
        <v>98</v>
      </c>
      <c r="C115" s="9">
        <f t="shared" si="17"/>
        <v>48273</v>
      </c>
      <c r="D115" s="6">
        <f>IFERROR((PPMT(المدخلات!$E$55/12,B115,$C$6,المدخلات!$E$54,-المدخلات!$E$65,0))," ")</f>
        <v>-4650.1517916226985</v>
      </c>
      <c r="E115" s="6">
        <f>IFERROR(((IPMT(المدخلات!$E$55/12,B115,$C$6,المدخلات!$E$54,-المدخلات!$E$65,0)))," ")</f>
        <v>-5667.3832105474021</v>
      </c>
      <c r="F115" s="6">
        <f t="shared" si="19"/>
        <v>-368130.17858128011</v>
      </c>
      <c r="G115" s="6">
        <f t="shared" si="18"/>
        <v>-642988.25163138995</v>
      </c>
      <c r="H115" s="6">
        <f t="shared" si="14"/>
        <v>-10317.535002170102</v>
      </c>
      <c r="I115" s="6">
        <f t="shared" si="15"/>
        <v>1231869.8214187198</v>
      </c>
      <c r="J115" s="6" t="str">
        <f>IF(B115&lt;&gt;"",IF(AND(المدخلات!$H$54="سنوي",MOD(B115,12)=0),المدخلات!$J$54,IF(AND(المدخلات!$H$54="القسط (الدفعة) الاول",B115=1),المدخلات!$J$54,IF(المدخلات!$H$54="شهري",المدخلات!$J$54,""))),"")</f>
        <v/>
      </c>
      <c r="K115" s="6" t="str">
        <f>IF(B115&lt;&gt;"",IF(AND(المدخلات!$H$55="سنوي",MOD(B115,12)=0),المدخلات!$J$55,IF(AND(المدخلات!$H$55="القسط (الدفعة) الاول",B115=1),المدخلات!$J$55,IF(المدخلات!$H$55="شهري",المدخلات!$J$55,""))),"")</f>
        <v/>
      </c>
      <c r="L115" s="6">
        <f>IF(B115&lt;&gt;"",IF(AND(المدخلات!$H$56="سنوي",MOD(B115,12)=0),المدخلات!$J$56,IF(AND(المدخلات!$H$56="القسط (الدفعة) الاول",B115=1),المدخلات!$J$56,IF(المدخلات!$H$56="شهري",المدخلات!$J$56,""))),"")</f>
        <v>208.33333333333334</v>
      </c>
      <c r="M115" s="6" t="str">
        <f>IF(B115&lt;&gt;"",IF(AND(المدخلات!$H$57="سنوي",MOD(B115,12)=0),المدخلات!$J$57,IF(AND(المدخلات!$H$57="القسط (الدفعة) الاول",B115=1),المدخلات!$J$57,IF(المدخلات!$H$57="شهري",المدخلات!$J$57,""))),"")</f>
        <v/>
      </c>
      <c r="N115" s="6" t="str">
        <f>IF(B115&lt;&gt;"",IF(AND(المدخلات!$H$58="سنوي",MOD(B115,12)=0),المدخلات!$J$58,IF(AND(المدخلات!$H$58="القسط (الدفعة) الاول",B115=1),المدخلات!$J$58,IF(المدخلات!$H$58="شهري",المدخلات!$J$58,IF(AND(المدخلات!$H$58="End of the loan",B115=المدخلات!$E$58),المدخلات!$J$58,"")))),"")</f>
        <v/>
      </c>
      <c r="O115" s="6">
        <f t="shared" si="10"/>
        <v>208.33333333333334</v>
      </c>
      <c r="P115" s="4">
        <f t="shared" si="11"/>
        <v>10525.868335503435</v>
      </c>
      <c r="T115" s="9">
        <f t="shared" si="12"/>
        <v>48273</v>
      </c>
      <c r="U115" s="5">
        <f t="shared" si="13"/>
        <v>10525.87</v>
      </c>
    </row>
    <row r="116" spans="2:21" x14ac:dyDescent="0.2">
      <c r="B116" s="16">
        <f t="shared" si="16"/>
        <v>99</v>
      </c>
      <c r="C116" s="9">
        <f t="shared" si="17"/>
        <v>48303</v>
      </c>
      <c r="D116" s="6">
        <f>IFERROR((PPMT(المدخلات!$E$55/12,B116,$C$6,المدخلات!$E$54,-المدخلات!$E$65,0))," ")</f>
        <v>-4671.4649873343033</v>
      </c>
      <c r="E116" s="6">
        <f>IFERROR(((IPMT(المدخلات!$E$55/12,B116,$C$6,المدخلات!$E$54,-المدخلات!$E$65,0)))," ")</f>
        <v>-5646.0700148357992</v>
      </c>
      <c r="F116" s="6">
        <f t="shared" si="19"/>
        <v>-372801.64356861444</v>
      </c>
      <c r="G116" s="6">
        <f t="shared" si="18"/>
        <v>-648634.32164622576</v>
      </c>
      <c r="H116" s="6">
        <f t="shared" si="14"/>
        <v>-10317.535002170102</v>
      </c>
      <c r="I116" s="6">
        <f t="shared" si="15"/>
        <v>1227198.3564313855</v>
      </c>
      <c r="J116" s="6" t="str">
        <f>IF(B116&lt;&gt;"",IF(AND(المدخلات!$H$54="سنوي",MOD(B116,12)=0),المدخلات!$J$54,IF(AND(المدخلات!$H$54="القسط (الدفعة) الاول",B116=1),المدخلات!$J$54,IF(المدخلات!$H$54="شهري",المدخلات!$J$54,""))),"")</f>
        <v/>
      </c>
      <c r="K116" s="6" t="str">
        <f>IF(B116&lt;&gt;"",IF(AND(المدخلات!$H$55="سنوي",MOD(B116,12)=0),المدخلات!$J$55,IF(AND(المدخلات!$H$55="القسط (الدفعة) الاول",B116=1),المدخلات!$J$55,IF(المدخلات!$H$55="شهري",المدخلات!$J$55,""))),"")</f>
        <v/>
      </c>
      <c r="L116" s="6">
        <f>IF(B116&lt;&gt;"",IF(AND(المدخلات!$H$56="سنوي",MOD(B116,12)=0),المدخلات!$J$56,IF(AND(المدخلات!$H$56="القسط (الدفعة) الاول",B116=1),المدخلات!$J$56,IF(المدخلات!$H$56="شهري",المدخلات!$J$56,""))),"")</f>
        <v>208.33333333333334</v>
      </c>
      <c r="M116" s="6" t="str">
        <f>IF(B116&lt;&gt;"",IF(AND(المدخلات!$H$57="سنوي",MOD(B116,12)=0),المدخلات!$J$57,IF(AND(المدخلات!$H$57="القسط (الدفعة) الاول",B116=1),المدخلات!$J$57,IF(المدخلات!$H$57="شهري",المدخلات!$J$57,""))),"")</f>
        <v/>
      </c>
      <c r="N116" s="6" t="str">
        <f>IF(B116&lt;&gt;"",IF(AND(المدخلات!$H$58="سنوي",MOD(B116,12)=0),المدخلات!$J$58,IF(AND(المدخلات!$H$58="القسط (الدفعة) الاول",B116=1),المدخلات!$J$58,IF(المدخلات!$H$58="شهري",المدخلات!$J$58,IF(AND(المدخلات!$H$58="End of the loan",B116=المدخلات!$E$58),المدخلات!$J$58,"")))),"")</f>
        <v/>
      </c>
      <c r="O116" s="6">
        <f t="shared" si="10"/>
        <v>208.33333333333334</v>
      </c>
      <c r="P116" s="4">
        <f t="shared" si="11"/>
        <v>10525.868335503435</v>
      </c>
      <c r="T116" s="9">
        <f t="shared" si="12"/>
        <v>48303</v>
      </c>
      <c r="U116" s="5">
        <f t="shared" si="13"/>
        <v>10525.87</v>
      </c>
    </row>
    <row r="117" spans="2:21" x14ac:dyDescent="0.2">
      <c r="B117" s="16">
        <f t="shared" si="16"/>
        <v>100</v>
      </c>
      <c r="C117" s="9">
        <f t="shared" si="17"/>
        <v>48334</v>
      </c>
      <c r="D117" s="6">
        <f>IFERROR((PPMT(المدخلات!$E$55/12,B117,$C$6,المدخلات!$E$54,-المدخلات!$E$65,0))," ")</f>
        <v>-4692.875868526251</v>
      </c>
      <c r="E117" s="6">
        <f>IFERROR(((IPMT(المدخلات!$E$55/12,B117,$C$6,المدخلات!$E$54,-المدخلات!$E$65,0)))," ")</f>
        <v>-5624.6591336438505</v>
      </c>
      <c r="F117" s="6">
        <f t="shared" si="19"/>
        <v>-377494.51943714067</v>
      </c>
      <c r="G117" s="6">
        <f t="shared" si="18"/>
        <v>-654258.9807798696</v>
      </c>
      <c r="H117" s="6">
        <f t="shared" si="14"/>
        <v>-10317.535002170102</v>
      </c>
      <c r="I117" s="6">
        <f t="shared" si="15"/>
        <v>1222505.4805628592</v>
      </c>
      <c r="J117" s="6" t="str">
        <f>IF(B117&lt;&gt;"",IF(AND(المدخلات!$H$54="سنوي",MOD(B117,12)=0),المدخلات!$J$54,IF(AND(المدخلات!$H$54="القسط (الدفعة) الاول",B117=1),المدخلات!$J$54,IF(المدخلات!$H$54="شهري",المدخلات!$J$54,""))),"")</f>
        <v/>
      </c>
      <c r="K117" s="6" t="str">
        <f>IF(B117&lt;&gt;"",IF(AND(المدخلات!$H$55="سنوي",MOD(B117,12)=0),المدخلات!$J$55,IF(AND(المدخلات!$H$55="القسط (الدفعة) الاول",B117=1),المدخلات!$J$55,IF(المدخلات!$H$55="شهري",المدخلات!$J$55,""))),"")</f>
        <v/>
      </c>
      <c r="L117" s="6">
        <f>IF(B117&lt;&gt;"",IF(AND(المدخلات!$H$56="سنوي",MOD(B117,12)=0),المدخلات!$J$56,IF(AND(المدخلات!$H$56="القسط (الدفعة) الاول",B117=1),المدخلات!$J$56,IF(المدخلات!$H$56="شهري",المدخلات!$J$56,""))),"")</f>
        <v>208.33333333333334</v>
      </c>
      <c r="M117" s="6" t="str">
        <f>IF(B117&lt;&gt;"",IF(AND(المدخلات!$H$57="سنوي",MOD(B117,12)=0),المدخلات!$J$57,IF(AND(المدخلات!$H$57="القسط (الدفعة) الاول",B117=1),المدخلات!$J$57,IF(المدخلات!$H$57="شهري",المدخلات!$J$57,""))),"")</f>
        <v/>
      </c>
      <c r="N117" s="6" t="str">
        <f>IF(B117&lt;&gt;"",IF(AND(المدخلات!$H$58="سنوي",MOD(B117,12)=0),المدخلات!$J$58,IF(AND(المدخلات!$H$58="القسط (الدفعة) الاول",B117=1),المدخلات!$J$58,IF(المدخلات!$H$58="شهري",المدخلات!$J$58,IF(AND(المدخلات!$H$58="End of the loan",B117=المدخلات!$E$58),المدخلات!$J$58,"")))),"")</f>
        <v/>
      </c>
      <c r="O117" s="6">
        <f t="shared" si="10"/>
        <v>208.33333333333334</v>
      </c>
      <c r="P117" s="4">
        <f t="shared" si="11"/>
        <v>10525.868335503435</v>
      </c>
      <c r="T117" s="9">
        <f t="shared" si="12"/>
        <v>48334</v>
      </c>
      <c r="U117" s="5">
        <f t="shared" si="13"/>
        <v>10525.87</v>
      </c>
    </row>
    <row r="118" spans="2:21" x14ac:dyDescent="0.2">
      <c r="B118" s="16">
        <f t="shared" si="16"/>
        <v>101</v>
      </c>
      <c r="C118" s="9">
        <f t="shared" si="17"/>
        <v>48364</v>
      </c>
      <c r="D118" s="6">
        <f>IFERROR((PPMT(المدخلات!$E$55/12,B118,$C$6,المدخلات!$E$54,-المدخلات!$E$65,0))," ")</f>
        <v>-4714.3848829236631</v>
      </c>
      <c r="E118" s="6">
        <f>IFERROR(((IPMT(المدخلات!$E$55/12,B118,$C$6,المدخلات!$E$54,-المدخلات!$E$65,0)))," ")</f>
        <v>-5603.1501192464384</v>
      </c>
      <c r="F118" s="6">
        <f t="shared" si="19"/>
        <v>-382208.90432006435</v>
      </c>
      <c r="G118" s="6">
        <f t="shared" si="18"/>
        <v>-659862.13089911605</v>
      </c>
      <c r="H118" s="6">
        <f t="shared" si="14"/>
        <v>-10317.535002170102</v>
      </c>
      <c r="I118" s="6">
        <f t="shared" si="15"/>
        <v>1217791.0956799355</v>
      </c>
      <c r="J118" s="6" t="str">
        <f>IF(B118&lt;&gt;"",IF(AND(المدخلات!$H$54="سنوي",MOD(B118,12)=0),المدخلات!$J$54,IF(AND(المدخلات!$H$54="القسط (الدفعة) الاول",B118=1),المدخلات!$J$54,IF(المدخلات!$H$54="شهري",المدخلات!$J$54,""))),"")</f>
        <v/>
      </c>
      <c r="K118" s="6" t="str">
        <f>IF(B118&lt;&gt;"",IF(AND(المدخلات!$H$55="سنوي",MOD(B118,12)=0),المدخلات!$J$55,IF(AND(المدخلات!$H$55="القسط (الدفعة) الاول",B118=1),المدخلات!$J$55,IF(المدخلات!$H$55="شهري",المدخلات!$J$55,""))),"")</f>
        <v/>
      </c>
      <c r="L118" s="6">
        <f>IF(B118&lt;&gt;"",IF(AND(المدخلات!$H$56="سنوي",MOD(B118,12)=0),المدخلات!$J$56,IF(AND(المدخلات!$H$56="القسط (الدفعة) الاول",B118=1),المدخلات!$J$56,IF(المدخلات!$H$56="شهري",المدخلات!$J$56,""))),"")</f>
        <v>208.33333333333334</v>
      </c>
      <c r="M118" s="6" t="str">
        <f>IF(B118&lt;&gt;"",IF(AND(المدخلات!$H$57="سنوي",MOD(B118,12)=0),المدخلات!$J$57,IF(AND(المدخلات!$H$57="القسط (الدفعة) الاول",B118=1),المدخلات!$J$57,IF(المدخلات!$H$57="شهري",المدخلات!$J$57,""))),"")</f>
        <v/>
      </c>
      <c r="N118" s="6" t="str">
        <f>IF(B118&lt;&gt;"",IF(AND(المدخلات!$H$58="سنوي",MOD(B118,12)=0),المدخلات!$J$58,IF(AND(المدخلات!$H$58="القسط (الدفعة) الاول",B118=1),المدخلات!$J$58,IF(المدخلات!$H$58="شهري",المدخلات!$J$58,IF(AND(المدخلات!$H$58="End of the loan",B118=المدخلات!$E$58),المدخلات!$J$58,"")))),"")</f>
        <v/>
      </c>
      <c r="O118" s="6">
        <f t="shared" si="10"/>
        <v>208.33333333333334</v>
      </c>
      <c r="P118" s="4">
        <f t="shared" si="11"/>
        <v>10525.868335503435</v>
      </c>
      <c r="T118" s="9">
        <f t="shared" si="12"/>
        <v>48364</v>
      </c>
      <c r="U118" s="5">
        <f t="shared" si="13"/>
        <v>10525.87</v>
      </c>
    </row>
    <row r="119" spans="2:21" x14ac:dyDescent="0.2">
      <c r="B119" s="16">
        <f t="shared" si="16"/>
        <v>102</v>
      </c>
      <c r="C119" s="9">
        <f t="shared" si="17"/>
        <v>48395</v>
      </c>
      <c r="D119" s="6">
        <f>IFERROR((PPMT(المدخلات!$E$55/12,B119,$C$6,المدخلات!$E$54,-المدخلات!$E$65,0))," ")</f>
        <v>-4735.9924803037302</v>
      </c>
      <c r="E119" s="6">
        <f>IFERROR(((IPMT(المدخلات!$E$55/12,B119,$C$6,المدخلات!$E$54,-المدخلات!$E$65,0)))," ")</f>
        <v>-5581.5425218663713</v>
      </c>
      <c r="F119" s="6">
        <f t="shared" si="19"/>
        <v>-386944.89680036809</v>
      </c>
      <c r="G119" s="6">
        <f t="shared" si="18"/>
        <v>-665443.67342098244</v>
      </c>
      <c r="H119" s="6">
        <f t="shared" si="14"/>
        <v>-10317.535002170102</v>
      </c>
      <c r="I119" s="6">
        <f t="shared" si="15"/>
        <v>1213055.1031996319</v>
      </c>
      <c r="J119" s="6" t="str">
        <f>IF(B119&lt;&gt;"",IF(AND(المدخلات!$H$54="سنوي",MOD(B119,12)=0),المدخلات!$J$54,IF(AND(المدخلات!$H$54="القسط (الدفعة) الاول",B119=1),المدخلات!$J$54,IF(المدخلات!$H$54="شهري",المدخلات!$J$54,""))),"")</f>
        <v/>
      </c>
      <c r="K119" s="6" t="str">
        <f>IF(B119&lt;&gt;"",IF(AND(المدخلات!$H$55="سنوي",MOD(B119,12)=0),المدخلات!$J$55,IF(AND(المدخلات!$H$55="القسط (الدفعة) الاول",B119=1),المدخلات!$J$55,IF(المدخلات!$H$55="شهري",المدخلات!$J$55,""))),"")</f>
        <v/>
      </c>
      <c r="L119" s="6">
        <f>IF(B119&lt;&gt;"",IF(AND(المدخلات!$H$56="سنوي",MOD(B119,12)=0),المدخلات!$J$56,IF(AND(المدخلات!$H$56="القسط (الدفعة) الاول",B119=1),المدخلات!$J$56,IF(المدخلات!$H$56="شهري",المدخلات!$J$56,""))),"")</f>
        <v>208.33333333333334</v>
      </c>
      <c r="M119" s="6" t="str">
        <f>IF(B119&lt;&gt;"",IF(AND(المدخلات!$H$57="سنوي",MOD(B119,12)=0),المدخلات!$J$57,IF(AND(المدخلات!$H$57="القسط (الدفعة) الاول",B119=1),المدخلات!$J$57,IF(المدخلات!$H$57="شهري",المدخلات!$J$57,""))),"")</f>
        <v/>
      </c>
      <c r="N119" s="6" t="str">
        <f>IF(B119&lt;&gt;"",IF(AND(المدخلات!$H$58="سنوي",MOD(B119,12)=0),المدخلات!$J$58,IF(AND(المدخلات!$H$58="القسط (الدفعة) الاول",B119=1),المدخلات!$J$58,IF(المدخلات!$H$58="شهري",المدخلات!$J$58,IF(AND(المدخلات!$H$58="End of the loan",B119=المدخلات!$E$58),المدخلات!$J$58,"")))),"")</f>
        <v/>
      </c>
      <c r="O119" s="6">
        <f t="shared" si="10"/>
        <v>208.33333333333334</v>
      </c>
      <c r="P119" s="4">
        <f t="shared" si="11"/>
        <v>10525.868335503435</v>
      </c>
      <c r="T119" s="9">
        <f t="shared" si="12"/>
        <v>48395</v>
      </c>
      <c r="U119" s="5">
        <f t="shared" si="13"/>
        <v>10525.87</v>
      </c>
    </row>
    <row r="120" spans="2:21" x14ac:dyDescent="0.2">
      <c r="B120" s="16">
        <f t="shared" si="16"/>
        <v>103</v>
      </c>
      <c r="C120" s="9">
        <f t="shared" si="17"/>
        <v>48425</v>
      </c>
      <c r="D120" s="6">
        <f>IFERROR((PPMT(المدخلات!$E$55/12,B120,$C$6,المدخلات!$E$54,-المدخلات!$E$65,0))," ")</f>
        <v>-4757.6991125051227</v>
      </c>
      <c r="E120" s="6">
        <f>IFERROR(((IPMT(المدخلات!$E$55/12,B120,$C$6,المدخلات!$E$54,-المدخلات!$E$65,0)))," ")</f>
        <v>-5559.8358896649788</v>
      </c>
      <c r="F120" s="6">
        <f t="shared" si="19"/>
        <v>-391702.59591287322</v>
      </c>
      <c r="G120" s="6">
        <f t="shared" si="18"/>
        <v>-671003.50931064738</v>
      </c>
      <c r="H120" s="6">
        <f t="shared" si="14"/>
        <v>-10317.535002170102</v>
      </c>
      <c r="I120" s="6">
        <f t="shared" si="15"/>
        <v>1208297.4040871267</v>
      </c>
      <c r="J120" s="6" t="str">
        <f>IF(B120&lt;&gt;"",IF(AND(المدخلات!$H$54="سنوي",MOD(B120,12)=0),المدخلات!$J$54,IF(AND(المدخلات!$H$54="القسط (الدفعة) الاول",B120=1),المدخلات!$J$54,IF(المدخلات!$H$54="شهري",المدخلات!$J$54,""))),"")</f>
        <v/>
      </c>
      <c r="K120" s="6" t="str">
        <f>IF(B120&lt;&gt;"",IF(AND(المدخلات!$H$55="سنوي",MOD(B120,12)=0),المدخلات!$J$55,IF(AND(المدخلات!$H$55="القسط (الدفعة) الاول",B120=1),المدخلات!$J$55,IF(المدخلات!$H$55="شهري",المدخلات!$J$55,""))),"")</f>
        <v/>
      </c>
      <c r="L120" s="6">
        <f>IF(B120&lt;&gt;"",IF(AND(المدخلات!$H$56="سنوي",MOD(B120,12)=0),المدخلات!$J$56,IF(AND(المدخلات!$H$56="القسط (الدفعة) الاول",B120=1),المدخلات!$J$56,IF(المدخلات!$H$56="شهري",المدخلات!$J$56,""))),"")</f>
        <v>208.33333333333334</v>
      </c>
      <c r="M120" s="6" t="str">
        <f>IF(B120&lt;&gt;"",IF(AND(المدخلات!$H$57="سنوي",MOD(B120,12)=0),المدخلات!$J$57,IF(AND(المدخلات!$H$57="القسط (الدفعة) الاول",B120=1),المدخلات!$J$57,IF(المدخلات!$H$57="شهري",المدخلات!$J$57,""))),"")</f>
        <v/>
      </c>
      <c r="N120" s="6" t="str">
        <f>IF(B120&lt;&gt;"",IF(AND(المدخلات!$H$58="سنوي",MOD(B120,12)=0),المدخلات!$J$58,IF(AND(المدخلات!$H$58="القسط (الدفعة) الاول",B120=1),المدخلات!$J$58,IF(المدخلات!$H$58="شهري",المدخلات!$J$58,IF(AND(المدخلات!$H$58="End of the loan",B120=المدخلات!$E$58),المدخلات!$J$58,"")))),"")</f>
        <v/>
      </c>
      <c r="O120" s="6">
        <f t="shared" si="10"/>
        <v>208.33333333333334</v>
      </c>
      <c r="P120" s="4">
        <f t="shared" si="11"/>
        <v>10525.868335503435</v>
      </c>
      <c r="T120" s="9">
        <f t="shared" si="12"/>
        <v>48425</v>
      </c>
      <c r="U120" s="5">
        <f t="shared" si="13"/>
        <v>10525.87</v>
      </c>
    </row>
    <row r="121" spans="2:21" x14ac:dyDescent="0.2">
      <c r="B121" s="16">
        <f t="shared" si="16"/>
        <v>104</v>
      </c>
      <c r="C121" s="9">
        <f t="shared" si="17"/>
        <v>48456</v>
      </c>
      <c r="D121" s="6">
        <f>IFERROR((PPMT(المدخلات!$E$55/12,B121,$C$6,المدخلات!$E$54,-المدخلات!$E$65,0))," ")</f>
        <v>-4779.5052334374377</v>
      </c>
      <c r="E121" s="6">
        <f>IFERROR(((IPMT(المدخلات!$E$55/12,B121,$C$6,المدخلات!$E$54,-المدخلات!$E$65,0)))," ")</f>
        <v>-5538.0297687326638</v>
      </c>
      <c r="F121" s="6">
        <f t="shared" si="19"/>
        <v>-396482.10114631068</v>
      </c>
      <c r="G121" s="6">
        <f t="shared" si="18"/>
        <v>-676541.53907937999</v>
      </c>
      <c r="H121" s="6">
        <f t="shared" si="14"/>
        <v>-10317.535002170102</v>
      </c>
      <c r="I121" s="6">
        <f t="shared" si="15"/>
        <v>1203517.8988536894</v>
      </c>
      <c r="J121" s="6" t="str">
        <f>IF(B121&lt;&gt;"",IF(AND(المدخلات!$H$54="سنوي",MOD(B121,12)=0),المدخلات!$J$54,IF(AND(المدخلات!$H$54="القسط (الدفعة) الاول",B121=1),المدخلات!$J$54,IF(المدخلات!$H$54="شهري",المدخلات!$J$54,""))),"")</f>
        <v/>
      </c>
      <c r="K121" s="6" t="str">
        <f>IF(B121&lt;&gt;"",IF(AND(المدخلات!$H$55="سنوي",MOD(B121,12)=0),المدخلات!$J$55,IF(AND(المدخلات!$H$55="القسط (الدفعة) الاول",B121=1),المدخلات!$J$55,IF(المدخلات!$H$55="شهري",المدخلات!$J$55,""))),"")</f>
        <v/>
      </c>
      <c r="L121" s="6">
        <f>IF(B121&lt;&gt;"",IF(AND(المدخلات!$H$56="سنوي",MOD(B121,12)=0),المدخلات!$J$56,IF(AND(المدخلات!$H$56="القسط (الدفعة) الاول",B121=1),المدخلات!$J$56,IF(المدخلات!$H$56="شهري",المدخلات!$J$56,""))),"")</f>
        <v>208.33333333333334</v>
      </c>
      <c r="M121" s="6" t="str">
        <f>IF(B121&lt;&gt;"",IF(AND(المدخلات!$H$57="سنوي",MOD(B121,12)=0),المدخلات!$J$57,IF(AND(المدخلات!$H$57="القسط (الدفعة) الاول",B121=1),المدخلات!$J$57,IF(المدخلات!$H$57="شهري",المدخلات!$J$57,""))),"")</f>
        <v/>
      </c>
      <c r="N121" s="6" t="str">
        <f>IF(B121&lt;&gt;"",IF(AND(المدخلات!$H$58="سنوي",MOD(B121,12)=0),المدخلات!$J$58,IF(AND(المدخلات!$H$58="القسط (الدفعة) الاول",B121=1),المدخلات!$J$58,IF(المدخلات!$H$58="شهري",المدخلات!$J$58,IF(AND(المدخلات!$H$58="End of the loan",B121=المدخلات!$E$58),المدخلات!$J$58,"")))),"")</f>
        <v/>
      </c>
      <c r="O121" s="6">
        <f t="shared" si="10"/>
        <v>208.33333333333334</v>
      </c>
      <c r="P121" s="4">
        <f t="shared" si="11"/>
        <v>10525.868335503435</v>
      </c>
      <c r="T121" s="9">
        <f t="shared" si="12"/>
        <v>48456</v>
      </c>
      <c r="U121" s="5">
        <f t="shared" si="13"/>
        <v>10525.87</v>
      </c>
    </row>
    <row r="122" spans="2:21" x14ac:dyDescent="0.2">
      <c r="B122" s="16">
        <f t="shared" si="16"/>
        <v>105</v>
      </c>
      <c r="C122" s="9">
        <f t="shared" si="17"/>
        <v>48487</v>
      </c>
      <c r="D122" s="6">
        <f>IFERROR((PPMT(المدخلات!$E$55/12,B122,$C$6,المدخلات!$E$54,-المدخلات!$E$65,0))," ")</f>
        <v>-4801.4112990906924</v>
      </c>
      <c r="E122" s="6">
        <f>IFERROR(((IPMT(المدخلات!$E$55/12,B122,$C$6,المدخلات!$E$54,-المدخلات!$E$65,0)))," ")</f>
        <v>-5516.1237030794082</v>
      </c>
      <c r="F122" s="6">
        <f t="shared" si="19"/>
        <v>-401283.5124454014</v>
      </c>
      <c r="G122" s="6">
        <f t="shared" si="18"/>
        <v>-682057.6627824594</v>
      </c>
      <c r="H122" s="6">
        <f t="shared" si="14"/>
        <v>-10317.535002170102</v>
      </c>
      <c r="I122" s="6">
        <f t="shared" si="15"/>
        <v>1198716.4875545986</v>
      </c>
      <c r="J122" s="6" t="str">
        <f>IF(B122&lt;&gt;"",IF(AND(المدخلات!$H$54="سنوي",MOD(B122,12)=0),المدخلات!$J$54,IF(AND(المدخلات!$H$54="القسط (الدفعة) الاول",B122=1),المدخلات!$J$54,IF(المدخلات!$H$54="شهري",المدخلات!$J$54,""))),"")</f>
        <v/>
      </c>
      <c r="K122" s="6" t="str">
        <f>IF(B122&lt;&gt;"",IF(AND(المدخلات!$H$55="سنوي",MOD(B122,12)=0),المدخلات!$J$55,IF(AND(المدخلات!$H$55="القسط (الدفعة) الاول",B122=1),المدخلات!$J$55,IF(المدخلات!$H$55="شهري",المدخلات!$J$55,""))),"")</f>
        <v/>
      </c>
      <c r="L122" s="6">
        <f>IF(B122&lt;&gt;"",IF(AND(المدخلات!$H$56="سنوي",MOD(B122,12)=0),المدخلات!$J$56,IF(AND(المدخلات!$H$56="القسط (الدفعة) الاول",B122=1),المدخلات!$J$56,IF(المدخلات!$H$56="شهري",المدخلات!$J$56,""))),"")</f>
        <v>208.33333333333334</v>
      </c>
      <c r="M122" s="6" t="str">
        <f>IF(B122&lt;&gt;"",IF(AND(المدخلات!$H$57="سنوي",MOD(B122,12)=0),المدخلات!$J$57,IF(AND(المدخلات!$H$57="القسط (الدفعة) الاول",B122=1),المدخلات!$J$57,IF(المدخلات!$H$57="شهري",المدخلات!$J$57,""))),"")</f>
        <v/>
      </c>
      <c r="N122" s="6" t="str">
        <f>IF(B122&lt;&gt;"",IF(AND(المدخلات!$H$58="سنوي",MOD(B122,12)=0),المدخلات!$J$58,IF(AND(المدخلات!$H$58="القسط (الدفعة) الاول",B122=1),المدخلات!$J$58,IF(المدخلات!$H$58="شهري",المدخلات!$J$58,IF(AND(المدخلات!$H$58="End of the loan",B122=المدخلات!$E$58),المدخلات!$J$58,"")))),"")</f>
        <v/>
      </c>
      <c r="O122" s="6">
        <f t="shared" si="10"/>
        <v>208.33333333333334</v>
      </c>
      <c r="P122" s="4">
        <f t="shared" si="11"/>
        <v>10525.868335503435</v>
      </c>
      <c r="T122" s="9">
        <f t="shared" si="12"/>
        <v>48487</v>
      </c>
      <c r="U122" s="5">
        <f t="shared" si="13"/>
        <v>10525.87</v>
      </c>
    </row>
    <row r="123" spans="2:21" x14ac:dyDescent="0.2">
      <c r="B123" s="16">
        <f t="shared" si="16"/>
        <v>106</v>
      </c>
      <c r="C123" s="9">
        <f t="shared" si="17"/>
        <v>48517</v>
      </c>
      <c r="D123" s="6">
        <f>IFERROR((PPMT(المدخلات!$E$55/12,B123,$C$6,المدخلات!$E$54,-المدخلات!$E$65,0))," ")</f>
        <v>-4823.4177675448591</v>
      </c>
      <c r="E123" s="6">
        <f>IFERROR(((IPMT(المدخلات!$E$55/12,B123,$C$6,المدخلات!$E$54,-المدخلات!$E$65,0)))," ")</f>
        <v>-5494.1172346252433</v>
      </c>
      <c r="F123" s="6">
        <f t="shared" si="19"/>
        <v>-406106.93021294626</v>
      </c>
      <c r="G123" s="6">
        <f t="shared" si="18"/>
        <v>-687551.78001708467</v>
      </c>
      <c r="H123" s="6">
        <f t="shared" si="14"/>
        <v>-10317.535002170102</v>
      </c>
      <c r="I123" s="6">
        <f t="shared" si="15"/>
        <v>1193893.0697870539</v>
      </c>
      <c r="J123" s="6" t="str">
        <f>IF(B123&lt;&gt;"",IF(AND(المدخلات!$H$54="سنوي",MOD(B123,12)=0),المدخلات!$J$54,IF(AND(المدخلات!$H$54="القسط (الدفعة) الاول",B123=1),المدخلات!$J$54,IF(المدخلات!$H$54="شهري",المدخلات!$J$54,""))),"")</f>
        <v/>
      </c>
      <c r="K123" s="6" t="str">
        <f>IF(B123&lt;&gt;"",IF(AND(المدخلات!$H$55="سنوي",MOD(B123,12)=0),المدخلات!$J$55,IF(AND(المدخلات!$H$55="القسط (الدفعة) الاول",B123=1),المدخلات!$J$55,IF(المدخلات!$H$55="شهري",المدخلات!$J$55,""))),"")</f>
        <v/>
      </c>
      <c r="L123" s="6">
        <f>IF(B123&lt;&gt;"",IF(AND(المدخلات!$H$56="سنوي",MOD(B123,12)=0),المدخلات!$J$56,IF(AND(المدخلات!$H$56="القسط (الدفعة) الاول",B123=1),المدخلات!$J$56,IF(المدخلات!$H$56="شهري",المدخلات!$J$56,""))),"")</f>
        <v>208.33333333333334</v>
      </c>
      <c r="M123" s="6" t="str">
        <f>IF(B123&lt;&gt;"",IF(AND(المدخلات!$H$57="سنوي",MOD(B123,12)=0),المدخلات!$J$57,IF(AND(المدخلات!$H$57="القسط (الدفعة) الاول",B123=1),المدخلات!$J$57,IF(المدخلات!$H$57="شهري",المدخلات!$J$57,""))),"")</f>
        <v/>
      </c>
      <c r="N123" s="6" t="str">
        <f>IF(B123&lt;&gt;"",IF(AND(المدخلات!$H$58="سنوي",MOD(B123,12)=0),المدخلات!$J$58,IF(AND(المدخلات!$H$58="القسط (الدفعة) الاول",B123=1),المدخلات!$J$58,IF(المدخلات!$H$58="شهري",المدخلات!$J$58,IF(AND(المدخلات!$H$58="End of the loan",B123=المدخلات!$E$58),المدخلات!$J$58,"")))),"")</f>
        <v/>
      </c>
      <c r="O123" s="6">
        <f t="shared" si="10"/>
        <v>208.33333333333334</v>
      </c>
      <c r="P123" s="4">
        <f t="shared" si="11"/>
        <v>10525.868335503435</v>
      </c>
      <c r="T123" s="9">
        <f t="shared" si="12"/>
        <v>48517</v>
      </c>
      <c r="U123" s="5">
        <f t="shared" si="13"/>
        <v>10525.87</v>
      </c>
    </row>
    <row r="124" spans="2:21" x14ac:dyDescent="0.2">
      <c r="B124" s="16">
        <f t="shared" si="16"/>
        <v>107</v>
      </c>
      <c r="C124" s="9">
        <f t="shared" si="17"/>
        <v>48548</v>
      </c>
      <c r="D124" s="6">
        <f>IFERROR((PPMT(المدخلات!$E$55/12,B124,$C$6,المدخلات!$E$54,-المدخلات!$E$65,0))," ")</f>
        <v>-4845.5250989794386</v>
      </c>
      <c r="E124" s="6">
        <f>IFERROR(((IPMT(المدخلات!$E$55/12,B124,$C$6,المدخلات!$E$54,-المدخلات!$E$65,0)))," ")</f>
        <v>-5472.009903190662</v>
      </c>
      <c r="F124" s="6">
        <f t="shared" si="19"/>
        <v>-410952.45531192567</v>
      </c>
      <c r="G124" s="6">
        <f t="shared" si="18"/>
        <v>-693023.78992027533</v>
      </c>
      <c r="H124" s="6">
        <f t="shared" si="14"/>
        <v>-10317.535002170102</v>
      </c>
      <c r="I124" s="6">
        <f t="shared" si="15"/>
        <v>1189047.5446880744</v>
      </c>
      <c r="J124" s="6" t="str">
        <f>IF(B124&lt;&gt;"",IF(AND(المدخلات!$H$54="سنوي",MOD(B124,12)=0),المدخلات!$J$54,IF(AND(المدخلات!$H$54="القسط (الدفعة) الاول",B124=1),المدخلات!$J$54,IF(المدخلات!$H$54="شهري",المدخلات!$J$54,""))),"")</f>
        <v/>
      </c>
      <c r="K124" s="6" t="str">
        <f>IF(B124&lt;&gt;"",IF(AND(المدخلات!$H$55="سنوي",MOD(B124,12)=0),المدخلات!$J$55,IF(AND(المدخلات!$H$55="القسط (الدفعة) الاول",B124=1),المدخلات!$J$55,IF(المدخلات!$H$55="شهري",المدخلات!$J$55,""))),"")</f>
        <v/>
      </c>
      <c r="L124" s="6">
        <f>IF(B124&lt;&gt;"",IF(AND(المدخلات!$H$56="سنوي",MOD(B124,12)=0),المدخلات!$J$56,IF(AND(المدخلات!$H$56="القسط (الدفعة) الاول",B124=1),المدخلات!$J$56,IF(المدخلات!$H$56="شهري",المدخلات!$J$56,""))),"")</f>
        <v>208.33333333333334</v>
      </c>
      <c r="M124" s="6" t="str">
        <f>IF(B124&lt;&gt;"",IF(AND(المدخلات!$H$57="سنوي",MOD(B124,12)=0),المدخلات!$J$57,IF(AND(المدخلات!$H$57="القسط (الدفعة) الاول",B124=1),المدخلات!$J$57,IF(المدخلات!$H$57="شهري",المدخلات!$J$57,""))),"")</f>
        <v/>
      </c>
      <c r="N124" s="6" t="str">
        <f>IF(B124&lt;&gt;"",IF(AND(المدخلات!$H$58="سنوي",MOD(B124,12)=0),المدخلات!$J$58,IF(AND(المدخلات!$H$58="القسط (الدفعة) الاول",B124=1),المدخلات!$J$58,IF(المدخلات!$H$58="شهري",المدخلات!$J$58,IF(AND(المدخلات!$H$58="End of the loan",B124=المدخلات!$E$58),المدخلات!$J$58,"")))),"")</f>
        <v/>
      </c>
      <c r="O124" s="6">
        <f t="shared" si="10"/>
        <v>208.33333333333334</v>
      </c>
      <c r="P124" s="4">
        <f t="shared" si="11"/>
        <v>10525.868335503435</v>
      </c>
      <c r="T124" s="9">
        <f t="shared" si="12"/>
        <v>48548</v>
      </c>
      <c r="U124" s="5">
        <f t="shared" si="13"/>
        <v>10525.87</v>
      </c>
    </row>
    <row r="125" spans="2:21" x14ac:dyDescent="0.2">
      <c r="B125" s="16">
        <f t="shared" si="16"/>
        <v>108</v>
      </c>
      <c r="C125" s="9">
        <f t="shared" si="17"/>
        <v>48578</v>
      </c>
      <c r="D125" s="6">
        <f>IFERROR((PPMT(المدخلات!$E$55/12,B125,$C$6,المدخلات!$E$54,-المدخلات!$E$65,0))," ")</f>
        <v>-4867.7337556830953</v>
      </c>
      <c r="E125" s="6">
        <f>IFERROR(((IPMT(المدخلات!$E$55/12,B125,$C$6,المدخلات!$E$54,-المدخلات!$E$65,0)))," ")</f>
        <v>-5449.8012464870062</v>
      </c>
      <c r="F125" s="6">
        <f t="shared" si="19"/>
        <v>-415820.18906760879</v>
      </c>
      <c r="G125" s="6">
        <f t="shared" si="18"/>
        <v>-698473.59116676229</v>
      </c>
      <c r="H125" s="6">
        <f t="shared" si="14"/>
        <v>-10317.535002170102</v>
      </c>
      <c r="I125" s="6">
        <f t="shared" si="15"/>
        <v>1184179.8109323913</v>
      </c>
      <c r="J125" s="6" t="str">
        <f>IF(B125&lt;&gt;"",IF(AND(المدخلات!$H$54="سنوي",MOD(B125,12)=0),المدخلات!$J$54,IF(AND(المدخلات!$H$54="القسط (الدفعة) الاول",B125=1),المدخلات!$J$54,IF(المدخلات!$H$54="شهري",المدخلات!$J$54,""))),"")</f>
        <v/>
      </c>
      <c r="K125" s="6" t="str">
        <f>IF(B125&lt;&gt;"",IF(AND(المدخلات!$H$55="سنوي",MOD(B125,12)=0),المدخلات!$J$55,IF(AND(المدخلات!$H$55="القسط (الدفعة) الاول",B125=1),المدخلات!$J$55,IF(المدخلات!$H$55="شهري",المدخلات!$J$55,""))),"")</f>
        <v/>
      </c>
      <c r="L125" s="6">
        <f>IF(B125&lt;&gt;"",IF(AND(المدخلات!$H$56="سنوي",MOD(B125,12)=0),المدخلات!$J$56,IF(AND(المدخلات!$H$56="القسط (الدفعة) الاول",B125=1),المدخلات!$J$56,IF(المدخلات!$H$56="شهري",المدخلات!$J$56,""))),"")</f>
        <v>208.33333333333334</v>
      </c>
      <c r="M125" s="6" t="str">
        <f>IF(B125&lt;&gt;"",IF(AND(المدخلات!$H$57="سنوي",MOD(B125,12)=0),المدخلات!$J$57,IF(AND(المدخلات!$H$57="القسط (الدفعة) الاول",B125=1),المدخلات!$J$57,IF(المدخلات!$H$57="شهري",المدخلات!$J$57,""))),"")</f>
        <v/>
      </c>
      <c r="N125" s="6">
        <f>IF(B125&lt;&gt;"",IF(AND(المدخلات!$H$58="سنوي",MOD(B125,12)=0),المدخلات!$J$58,IF(AND(المدخلات!$H$58="القسط (الدفعة) الاول",B125=1),المدخلات!$J$58,IF(المدخلات!$H$58="شهري",المدخلات!$J$58,IF(AND(المدخلات!$H$58="End of the loan",B125=المدخلات!$E$58),المدخلات!$J$58,"")))),"")</f>
        <v>0</v>
      </c>
      <c r="O125" s="6">
        <f t="shared" si="10"/>
        <v>208.33333333333334</v>
      </c>
      <c r="P125" s="4">
        <f t="shared" si="11"/>
        <v>10525.868335503435</v>
      </c>
      <c r="T125" s="9">
        <f t="shared" si="12"/>
        <v>48578</v>
      </c>
      <c r="U125" s="5">
        <f t="shared" si="13"/>
        <v>10525.87</v>
      </c>
    </row>
    <row r="126" spans="2:21" x14ac:dyDescent="0.2">
      <c r="B126" s="16">
        <f t="shared" si="16"/>
        <v>109</v>
      </c>
      <c r="C126" s="9">
        <f t="shared" si="17"/>
        <v>48609</v>
      </c>
      <c r="D126" s="6">
        <f>IFERROR((PPMT(المدخلات!$E$55/12,B126,$C$6,المدخلات!$E$54,-المدخلات!$E$65,0))," ")</f>
        <v>-4890.0442020633091</v>
      </c>
      <c r="E126" s="6">
        <f>IFERROR(((IPMT(المدخلات!$E$55/12,B126,$C$6,المدخلات!$E$54,-المدخلات!$E$65,0)))," ")</f>
        <v>-5427.4908001067915</v>
      </c>
      <c r="F126" s="6">
        <f t="shared" si="19"/>
        <v>-420710.23326967208</v>
      </c>
      <c r="G126" s="6">
        <f t="shared" si="18"/>
        <v>-703901.08196686907</v>
      </c>
      <c r="H126" s="6">
        <f t="shared" si="14"/>
        <v>-10317.535002170102</v>
      </c>
      <c r="I126" s="6">
        <f t="shared" si="15"/>
        <v>1179289.7667303279</v>
      </c>
      <c r="J126" s="6" t="str">
        <f>IF(B126&lt;&gt;"",IF(AND(المدخلات!$H$54="سنوي",MOD(B126,12)=0),المدخلات!$J$54,IF(AND(المدخلات!$H$54="القسط (الدفعة) الاول",B126=1),المدخلات!$J$54,IF(المدخلات!$H$54="شهري",المدخلات!$J$54,""))),"")</f>
        <v/>
      </c>
      <c r="K126" s="6" t="str">
        <f>IF(B126&lt;&gt;"",IF(AND(المدخلات!$H$55="سنوي",MOD(B126,12)=0),المدخلات!$J$55,IF(AND(المدخلات!$H$55="القسط (الدفعة) الاول",B126=1),المدخلات!$J$55,IF(المدخلات!$H$55="شهري",المدخلات!$J$55,""))),"")</f>
        <v/>
      </c>
      <c r="L126" s="6">
        <f>IF(B126&lt;&gt;"",IF(AND(المدخلات!$H$56="سنوي",MOD(B126,12)=0),المدخلات!$J$56,IF(AND(المدخلات!$H$56="القسط (الدفعة) الاول",B126=1),المدخلات!$J$56,IF(المدخلات!$H$56="شهري",المدخلات!$J$56,""))),"")</f>
        <v>208.33333333333334</v>
      </c>
      <c r="M126" s="6" t="str">
        <f>IF(B126&lt;&gt;"",IF(AND(المدخلات!$H$57="سنوي",MOD(B126,12)=0),المدخلات!$J$57,IF(AND(المدخلات!$H$57="القسط (الدفعة) الاول",B126=1),المدخلات!$J$57,IF(المدخلات!$H$57="شهري",المدخلات!$J$57,""))),"")</f>
        <v/>
      </c>
      <c r="N126" s="6" t="str">
        <f>IF(B126&lt;&gt;"",IF(AND(المدخلات!$H$58="سنوي",MOD(B126,12)=0),المدخلات!$J$58,IF(AND(المدخلات!$H$58="القسط (الدفعة) الاول",B126=1),المدخلات!$J$58,IF(المدخلات!$H$58="شهري",المدخلات!$J$58,IF(AND(المدخلات!$H$58="End of the loan",B126=المدخلات!$E$58),المدخلات!$J$58,"")))),"")</f>
        <v/>
      </c>
      <c r="O126" s="6">
        <f t="shared" si="10"/>
        <v>208.33333333333334</v>
      </c>
      <c r="P126" s="4">
        <f t="shared" si="11"/>
        <v>10525.868335503435</v>
      </c>
      <c r="T126" s="9">
        <f t="shared" si="12"/>
        <v>48609</v>
      </c>
      <c r="U126" s="5">
        <f t="shared" si="13"/>
        <v>10525.87</v>
      </c>
    </row>
    <row r="127" spans="2:21" x14ac:dyDescent="0.2">
      <c r="B127" s="16">
        <f t="shared" si="16"/>
        <v>110</v>
      </c>
      <c r="C127" s="9">
        <f t="shared" si="17"/>
        <v>48638</v>
      </c>
      <c r="D127" s="6">
        <f>IFERROR((PPMT(المدخلات!$E$55/12,B127,$C$6,المدخلات!$E$54,-المدخلات!$E$65,0))," ")</f>
        <v>-4912.4569046561001</v>
      </c>
      <c r="E127" s="6">
        <f>IFERROR(((IPMT(المدخلات!$E$55/12,B127,$C$6,المدخلات!$E$54,-المدخلات!$E$65,0)))," ")</f>
        <v>-5405.0780975140015</v>
      </c>
      <c r="F127" s="6">
        <f t="shared" si="19"/>
        <v>-425622.69017432816</v>
      </c>
      <c r="G127" s="6">
        <f t="shared" si="18"/>
        <v>-709306.16006438306</v>
      </c>
      <c r="H127" s="6">
        <f t="shared" si="14"/>
        <v>-10317.535002170102</v>
      </c>
      <c r="I127" s="6">
        <f t="shared" si="15"/>
        <v>1174377.3098256718</v>
      </c>
      <c r="J127" s="6" t="str">
        <f>IF(B127&lt;&gt;"",IF(AND(المدخلات!$H$54="سنوي",MOD(B127,12)=0),المدخلات!$J$54,IF(AND(المدخلات!$H$54="القسط (الدفعة) الاول",B127=1),المدخلات!$J$54,IF(المدخلات!$H$54="شهري",المدخلات!$J$54,""))),"")</f>
        <v/>
      </c>
      <c r="K127" s="6" t="str">
        <f>IF(B127&lt;&gt;"",IF(AND(المدخلات!$H$55="سنوي",MOD(B127,12)=0),المدخلات!$J$55,IF(AND(المدخلات!$H$55="القسط (الدفعة) الاول",B127=1),المدخلات!$J$55,IF(المدخلات!$H$55="شهري",المدخلات!$J$55,""))),"")</f>
        <v/>
      </c>
      <c r="L127" s="6">
        <f>IF(B127&lt;&gt;"",IF(AND(المدخلات!$H$56="سنوي",MOD(B127,12)=0),المدخلات!$J$56,IF(AND(المدخلات!$H$56="القسط (الدفعة) الاول",B127=1),المدخلات!$J$56,IF(المدخلات!$H$56="شهري",المدخلات!$J$56,""))),"")</f>
        <v>208.33333333333334</v>
      </c>
      <c r="M127" s="6" t="str">
        <f>IF(B127&lt;&gt;"",IF(AND(المدخلات!$H$57="سنوي",MOD(B127,12)=0),المدخلات!$J$57,IF(AND(المدخلات!$H$57="القسط (الدفعة) الاول",B127=1),المدخلات!$J$57,IF(المدخلات!$H$57="شهري",المدخلات!$J$57,""))),"")</f>
        <v/>
      </c>
      <c r="N127" s="6" t="str">
        <f>IF(B127&lt;&gt;"",IF(AND(المدخلات!$H$58="سنوي",MOD(B127,12)=0),المدخلات!$J$58,IF(AND(المدخلات!$H$58="القسط (الدفعة) الاول",B127=1),المدخلات!$J$58,IF(المدخلات!$H$58="شهري",المدخلات!$J$58,IF(AND(المدخلات!$H$58="End of the loan",B127=المدخلات!$E$58),المدخلات!$J$58,"")))),"")</f>
        <v/>
      </c>
      <c r="O127" s="6">
        <f t="shared" si="10"/>
        <v>208.33333333333334</v>
      </c>
      <c r="P127" s="4">
        <f t="shared" si="11"/>
        <v>10525.868335503435</v>
      </c>
      <c r="T127" s="9">
        <f t="shared" si="12"/>
        <v>48638</v>
      </c>
      <c r="U127" s="5">
        <f t="shared" si="13"/>
        <v>10525.87</v>
      </c>
    </row>
    <row r="128" spans="2:21" x14ac:dyDescent="0.2">
      <c r="B128" s="16">
        <f t="shared" si="16"/>
        <v>111</v>
      </c>
      <c r="C128" s="9">
        <f t="shared" si="17"/>
        <v>48668</v>
      </c>
      <c r="D128" s="6">
        <f>IFERROR((PPMT(المدخلات!$E$55/12,B128,$C$6,المدخلات!$E$54,-المدخلات!$E$65,0))," ")</f>
        <v>-4934.9723321357733</v>
      </c>
      <c r="E128" s="6">
        <f>IFERROR(((IPMT(المدخلات!$E$55/12,B128,$C$6,المدخلات!$E$54,-المدخلات!$E$65,0)))," ")</f>
        <v>-5382.5626700343291</v>
      </c>
      <c r="F128" s="6">
        <f t="shared" si="19"/>
        <v>-430557.66250646394</v>
      </c>
      <c r="G128" s="6">
        <f t="shared" si="18"/>
        <v>-714688.72273441742</v>
      </c>
      <c r="H128" s="6">
        <f t="shared" si="14"/>
        <v>-10317.535002170102</v>
      </c>
      <c r="I128" s="6">
        <f t="shared" si="15"/>
        <v>1169442.3374935361</v>
      </c>
      <c r="J128" s="6" t="str">
        <f>IF(B128&lt;&gt;"",IF(AND(المدخلات!$H$54="سنوي",MOD(B128,12)=0),المدخلات!$J$54,IF(AND(المدخلات!$H$54="القسط (الدفعة) الاول",B128=1),المدخلات!$J$54,IF(المدخلات!$H$54="شهري",المدخلات!$J$54,""))),"")</f>
        <v/>
      </c>
      <c r="K128" s="6" t="str">
        <f>IF(B128&lt;&gt;"",IF(AND(المدخلات!$H$55="سنوي",MOD(B128,12)=0),المدخلات!$J$55,IF(AND(المدخلات!$H$55="القسط (الدفعة) الاول",B128=1),المدخلات!$J$55,IF(المدخلات!$H$55="شهري",المدخلات!$J$55,""))),"")</f>
        <v/>
      </c>
      <c r="L128" s="6">
        <f>IF(B128&lt;&gt;"",IF(AND(المدخلات!$H$56="سنوي",MOD(B128,12)=0),المدخلات!$J$56,IF(AND(المدخلات!$H$56="القسط (الدفعة) الاول",B128=1),المدخلات!$J$56,IF(المدخلات!$H$56="شهري",المدخلات!$J$56,""))),"")</f>
        <v>208.33333333333334</v>
      </c>
      <c r="M128" s="6" t="str">
        <f>IF(B128&lt;&gt;"",IF(AND(المدخلات!$H$57="سنوي",MOD(B128,12)=0),المدخلات!$J$57,IF(AND(المدخلات!$H$57="القسط (الدفعة) الاول",B128=1),المدخلات!$J$57,IF(المدخلات!$H$57="شهري",المدخلات!$J$57,""))),"")</f>
        <v/>
      </c>
      <c r="N128" s="6" t="str">
        <f>IF(B128&lt;&gt;"",IF(AND(المدخلات!$H$58="سنوي",MOD(B128,12)=0),المدخلات!$J$58,IF(AND(المدخلات!$H$58="القسط (الدفعة) الاول",B128=1),المدخلات!$J$58,IF(المدخلات!$H$58="شهري",المدخلات!$J$58,IF(AND(المدخلات!$H$58="End of the loan",B128=المدخلات!$E$58),المدخلات!$J$58,"")))),"")</f>
        <v/>
      </c>
      <c r="O128" s="6">
        <f t="shared" si="10"/>
        <v>208.33333333333334</v>
      </c>
      <c r="P128" s="4">
        <f t="shared" si="11"/>
        <v>10525.868335503435</v>
      </c>
      <c r="T128" s="9">
        <f t="shared" si="12"/>
        <v>48668</v>
      </c>
      <c r="U128" s="5">
        <f t="shared" si="13"/>
        <v>10525.87</v>
      </c>
    </row>
    <row r="129" spans="2:21" x14ac:dyDescent="0.2">
      <c r="B129" s="16">
        <f t="shared" si="16"/>
        <v>112</v>
      </c>
      <c r="C129" s="9">
        <f t="shared" si="17"/>
        <v>48699</v>
      </c>
      <c r="D129" s="6">
        <f>IFERROR((PPMT(المدخلات!$E$55/12,B129,$C$6,المدخلات!$E$54,-المدخلات!$E$65,0))," ")</f>
        <v>-4957.5909553247293</v>
      </c>
      <c r="E129" s="6">
        <f>IFERROR(((IPMT(المدخلات!$E$55/12,B129,$C$6,المدخلات!$E$54,-المدخلات!$E$65,0)))," ")</f>
        <v>-5359.944046845374</v>
      </c>
      <c r="F129" s="6">
        <f t="shared" si="19"/>
        <v>-435515.25346178864</v>
      </c>
      <c r="G129" s="6">
        <f t="shared" si="18"/>
        <v>-720048.66678126284</v>
      </c>
      <c r="H129" s="6">
        <f t="shared" si="14"/>
        <v>-10317.535002170103</v>
      </c>
      <c r="I129" s="6">
        <f t="shared" si="15"/>
        <v>1164484.7465382114</v>
      </c>
      <c r="J129" s="6" t="str">
        <f>IF(B129&lt;&gt;"",IF(AND(المدخلات!$H$54="سنوي",MOD(B129,12)=0),المدخلات!$J$54,IF(AND(المدخلات!$H$54="القسط (الدفعة) الاول",B129=1),المدخلات!$J$54,IF(المدخلات!$H$54="شهري",المدخلات!$J$54,""))),"")</f>
        <v/>
      </c>
      <c r="K129" s="6" t="str">
        <f>IF(B129&lt;&gt;"",IF(AND(المدخلات!$H$55="سنوي",MOD(B129,12)=0),المدخلات!$J$55,IF(AND(المدخلات!$H$55="القسط (الدفعة) الاول",B129=1),المدخلات!$J$55,IF(المدخلات!$H$55="شهري",المدخلات!$J$55,""))),"")</f>
        <v/>
      </c>
      <c r="L129" s="6">
        <f>IF(B129&lt;&gt;"",IF(AND(المدخلات!$H$56="سنوي",MOD(B129,12)=0),المدخلات!$J$56,IF(AND(المدخلات!$H$56="القسط (الدفعة) الاول",B129=1),المدخلات!$J$56,IF(المدخلات!$H$56="شهري",المدخلات!$J$56,""))),"")</f>
        <v>208.33333333333334</v>
      </c>
      <c r="M129" s="6" t="str">
        <f>IF(B129&lt;&gt;"",IF(AND(المدخلات!$H$57="سنوي",MOD(B129,12)=0),المدخلات!$J$57,IF(AND(المدخلات!$H$57="القسط (الدفعة) الاول",B129=1),المدخلات!$J$57,IF(المدخلات!$H$57="شهري",المدخلات!$J$57,""))),"")</f>
        <v/>
      </c>
      <c r="N129" s="6" t="str">
        <f>IF(B129&lt;&gt;"",IF(AND(المدخلات!$H$58="سنوي",MOD(B129,12)=0),المدخلات!$J$58,IF(AND(المدخلات!$H$58="القسط (الدفعة) الاول",B129=1),المدخلات!$J$58,IF(المدخلات!$H$58="شهري",المدخلات!$J$58,IF(AND(المدخلات!$H$58="End of the loan",B129=المدخلات!$E$58),المدخلات!$J$58,"")))),"")</f>
        <v/>
      </c>
      <c r="O129" s="6">
        <f t="shared" si="10"/>
        <v>208.33333333333334</v>
      </c>
      <c r="P129" s="4">
        <f t="shared" si="11"/>
        <v>10525.868335503437</v>
      </c>
      <c r="T129" s="9">
        <f t="shared" si="12"/>
        <v>48699</v>
      </c>
      <c r="U129" s="5">
        <f t="shared" si="13"/>
        <v>10525.87</v>
      </c>
    </row>
    <row r="130" spans="2:21" x14ac:dyDescent="0.2">
      <c r="B130" s="16">
        <f t="shared" si="16"/>
        <v>113</v>
      </c>
      <c r="C130" s="9">
        <f t="shared" si="17"/>
        <v>48729</v>
      </c>
      <c r="D130" s="6">
        <f>IFERROR((PPMT(المدخلات!$E$55/12,B130,$C$6,المدخلات!$E$54,-المدخلات!$E$65,0))," ")</f>
        <v>-4980.3132472032994</v>
      </c>
      <c r="E130" s="6">
        <f>IFERROR(((IPMT(المدخلات!$E$55/12,B130,$C$6,المدخلات!$E$54,-المدخلات!$E$65,0)))," ")</f>
        <v>-5337.2217549668012</v>
      </c>
      <c r="F130" s="6">
        <f t="shared" si="19"/>
        <v>-440495.56670899194</v>
      </c>
      <c r="G130" s="6">
        <f t="shared" si="18"/>
        <v>-725385.88853622961</v>
      </c>
      <c r="H130" s="6">
        <f t="shared" si="14"/>
        <v>-10317.535002170102</v>
      </c>
      <c r="I130" s="6">
        <f t="shared" si="15"/>
        <v>1159504.433291008</v>
      </c>
      <c r="J130" s="6" t="str">
        <f>IF(B130&lt;&gt;"",IF(AND(المدخلات!$H$54="سنوي",MOD(B130,12)=0),المدخلات!$J$54,IF(AND(المدخلات!$H$54="القسط (الدفعة) الاول",B130=1),المدخلات!$J$54,IF(المدخلات!$H$54="شهري",المدخلات!$J$54,""))),"")</f>
        <v/>
      </c>
      <c r="K130" s="6" t="str">
        <f>IF(B130&lt;&gt;"",IF(AND(المدخلات!$H$55="سنوي",MOD(B130,12)=0),المدخلات!$J$55,IF(AND(المدخلات!$H$55="القسط (الدفعة) الاول",B130=1),المدخلات!$J$55,IF(المدخلات!$H$55="شهري",المدخلات!$J$55,""))),"")</f>
        <v/>
      </c>
      <c r="L130" s="6">
        <f>IF(B130&lt;&gt;"",IF(AND(المدخلات!$H$56="سنوي",MOD(B130,12)=0),المدخلات!$J$56,IF(AND(المدخلات!$H$56="القسط (الدفعة) الاول",B130=1),المدخلات!$J$56,IF(المدخلات!$H$56="شهري",المدخلات!$J$56,""))),"")</f>
        <v>208.33333333333334</v>
      </c>
      <c r="M130" s="6" t="str">
        <f>IF(B130&lt;&gt;"",IF(AND(المدخلات!$H$57="سنوي",MOD(B130,12)=0),المدخلات!$J$57,IF(AND(المدخلات!$H$57="القسط (الدفعة) الاول",B130=1),المدخلات!$J$57,IF(المدخلات!$H$57="شهري",المدخلات!$J$57,""))),"")</f>
        <v/>
      </c>
      <c r="N130" s="6" t="str">
        <f>IF(B130&lt;&gt;"",IF(AND(المدخلات!$H$58="سنوي",MOD(B130,12)=0),المدخلات!$J$58,IF(AND(المدخلات!$H$58="القسط (الدفعة) الاول",B130=1),المدخلات!$J$58,IF(المدخلات!$H$58="شهري",المدخلات!$J$58,IF(AND(المدخلات!$H$58="End of the loan",B130=المدخلات!$E$58),المدخلات!$J$58,"")))),"")</f>
        <v/>
      </c>
      <c r="O130" s="6">
        <f t="shared" si="10"/>
        <v>208.33333333333334</v>
      </c>
      <c r="P130" s="4">
        <f t="shared" si="11"/>
        <v>10525.868335503435</v>
      </c>
      <c r="T130" s="9">
        <f t="shared" si="12"/>
        <v>48729</v>
      </c>
      <c r="U130" s="5">
        <f t="shared" si="13"/>
        <v>10525.87</v>
      </c>
    </row>
    <row r="131" spans="2:21" x14ac:dyDescent="0.2">
      <c r="B131" s="16">
        <f t="shared" si="16"/>
        <v>114</v>
      </c>
      <c r="C131" s="9">
        <f t="shared" si="17"/>
        <v>48760</v>
      </c>
      <c r="D131" s="6">
        <f>IFERROR((PPMT(المدخلات!$E$55/12,B131,$C$6,المدخلات!$E$54,-المدخلات!$E$65,0))," ")</f>
        <v>-5003.1396829196483</v>
      </c>
      <c r="E131" s="6">
        <f>IFERROR(((IPMT(المدخلات!$E$55/12,B131,$C$6,المدخلات!$E$54,-المدخلات!$E$65,0)))," ")</f>
        <v>-5314.3953192504523</v>
      </c>
      <c r="F131" s="6">
        <f t="shared" si="19"/>
        <v>-445498.7063919116</v>
      </c>
      <c r="G131" s="6">
        <f t="shared" si="18"/>
        <v>-730700.28385548003</v>
      </c>
      <c r="H131" s="6">
        <f t="shared" si="14"/>
        <v>-10317.535002170102</v>
      </c>
      <c r="I131" s="6">
        <f t="shared" si="15"/>
        <v>1154501.2936080885</v>
      </c>
      <c r="J131" s="6" t="str">
        <f>IF(B131&lt;&gt;"",IF(AND(المدخلات!$H$54="سنوي",MOD(B131,12)=0),المدخلات!$J$54,IF(AND(المدخلات!$H$54="القسط (الدفعة) الاول",B131=1),المدخلات!$J$54,IF(المدخلات!$H$54="شهري",المدخلات!$J$54,""))),"")</f>
        <v/>
      </c>
      <c r="K131" s="6" t="str">
        <f>IF(B131&lt;&gt;"",IF(AND(المدخلات!$H$55="سنوي",MOD(B131,12)=0),المدخلات!$J$55,IF(AND(المدخلات!$H$55="القسط (الدفعة) الاول",B131=1),المدخلات!$J$55,IF(المدخلات!$H$55="شهري",المدخلات!$J$55,""))),"")</f>
        <v/>
      </c>
      <c r="L131" s="6">
        <f>IF(B131&lt;&gt;"",IF(AND(المدخلات!$H$56="سنوي",MOD(B131,12)=0),المدخلات!$J$56,IF(AND(المدخلات!$H$56="القسط (الدفعة) الاول",B131=1),المدخلات!$J$56,IF(المدخلات!$H$56="شهري",المدخلات!$J$56,""))),"")</f>
        <v>208.33333333333334</v>
      </c>
      <c r="M131" s="6" t="str">
        <f>IF(B131&lt;&gt;"",IF(AND(المدخلات!$H$57="سنوي",MOD(B131,12)=0),المدخلات!$J$57,IF(AND(المدخلات!$H$57="القسط (الدفعة) الاول",B131=1),المدخلات!$J$57,IF(المدخلات!$H$57="شهري",المدخلات!$J$57,""))),"")</f>
        <v/>
      </c>
      <c r="N131" s="6" t="str">
        <f>IF(B131&lt;&gt;"",IF(AND(المدخلات!$H$58="سنوي",MOD(B131,12)=0),المدخلات!$J$58,IF(AND(المدخلات!$H$58="القسط (الدفعة) الاول",B131=1),المدخلات!$J$58,IF(المدخلات!$H$58="شهري",المدخلات!$J$58,IF(AND(المدخلات!$H$58="End of the loan",B131=المدخلات!$E$58),المدخلات!$J$58,"")))),"")</f>
        <v/>
      </c>
      <c r="O131" s="6">
        <f t="shared" si="10"/>
        <v>208.33333333333334</v>
      </c>
      <c r="P131" s="4">
        <f t="shared" si="11"/>
        <v>10525.868335503435</v>
      </c>
      <c r="T131" s="9">
        <f t="shared" si="12"/>
        <v>48760</v>
      </c>
      <c r="U131" s="5">
        <f t="shared" si="13"/>
        <v>10525.87</v>
      </c>
    </row>
    <row r="132" spans="2:21" x14ac:dyDescent="0.2">
      <c r="B132" s="16">
        <f t="shared" si="16"/>
        <v>115</v>
      </c>
      <c r="C132" s="9">
        <f t="shared" si="17"/>
        <v>48790</v>
      </c>
      <c r="D132" s="6">
        <f>IFERROR((PPMT(المدخلات!$E$55/12,B132,$C$6,المدخلات!$E$54,-المدخلات!$E$65,0))," ")</f>
        <v>-5026.0707397996966</v>
      </c>
      <c r="E132" s="6">
        <f>IFERROR(((IPMT(المدخلات!$E$55/12,B132,$C$6,المدخلات!$E$54,-المدخلات!$E$65,0)))," ")</f>
        <v>-5291.4642623704049</v>
      </c>
      <c r="F132" s="6">
        <f t="shared" si="19"/>
        <v>-450524.77713171131</v>
      </c>
      <c r="G132" s="6">
        <f t="shared" si="18"/>
        <v>-735991.74811785039</v>
      </c>
      <c r="H132" s="6">
        <f t="shared" si="14"/>
        <v>-10317.535002170102</v>
      </c>
      <c r="I132" s="6">
        <f t="shared" si="15"/>
        <v>1149475.2228682886</v>
      </c>
      <c r="J132" s="6" t="str">
        <f>IF(B132&lt;&gt;"",IF(AND(المدخلات!$H$54="سنوي",MOD(B132,12)=0),المدخلات!$J$54,IF(AND(المدخلات!$H$54="القسط (الدفعة) الاول",B132=1),المدخلات!$J$54,IF(المدخلات!$H$54="شهري",المدخلات!$J$54,""))),"")</f>
        <v/>
      </c>
      <c r="K132" s="6" t="str">
        <f>IF(B132&lt;&gt;"",IF(AND(المدخلات!$H$55="سنوي",MOD(B132,12)=0),المدخلات!$J$55,IF(AND(المدخلات!$H$55="القسط (الدفعة) الاول",B132=1),المدخلات!$J$55,IF(المدخلات!$H$55="شهري",المدخلات!$J$55,""))),"")</f>
        <v/>
      </c>
      <c r="L132" s="6">
        <f>IF(B132&lt;&gt;"",IF(AND(المدخلات!$H$56="سنوي",MOD(B132,12)=0),المدخلات!$J$56,IF(AND(المدخلات!$H$56="القسط (الدفعة) الاول",B132=1),المدخلات!$J$56,IF(المدخلات!$H$56="شهري",المدخلات!$J$56,""))),"")</f>
        <v>208.33333333333334</v>
      </c>
      <c r="M132" s="6" t="str">
        <f>IF(B132&lt;&gt;"",IF(AND(المدخلات!$H$57="سنوي",MOD(B132,12)=0),المدخلات!$J$57,IF(AND(المدخلات!$H$57="القسط (الدفعة) الاول",B132=1),المدخلات!$J$57,IF(المدخلات!$H$57="شهري",المدخلات!$J$57,""))),"")</f>
        <v/>
      </c>
      <c r="N132" s="6" t="str">
        <f>IF(B132&lt;&gt;"",IF(AND(المدخلات!$H$58="سنوي",MOD(B132,12)=0),المدخلات!$J$58,IF(AND(المدخلات!$H$58="القسط (الدفعة) الاول",B132=1),المدخلات!$J$58,IF(المدخلات!$H$58="شهري",المدخلات!$J$58,IF(AND(المدخلات!$H$58="End of the loan",B132=المدخلات!$E$58),المدخلات!$J$58,"")))),"")</f>
        <v/>
      </c>
      <c r="O132" s="6">
        <f t="shared" si="10"/>
        <v>208.33333333333334</v>
      </c>
      <c r="P132" s="4">
        <f t="shared" si="11"/>
        <v>10525.868335503435</v>
      </c>
      <c r="T132" s="9">
        <f t="shared" si="12"/>
        <v>48790</v>
      </c>
      <c r="U132" s="5">
        <f t="shared" si="13"/>
        <v>10525.87</v>
      </c>
    </row>
    <row r="133" spans="2:21" x14ac:dyDescent="0.2">
      <c r="B133" s="16">
        <f t="shared" si="16"/>
        <v>116</v>
      </c>
      <c r="C133" s="9">
        <f t="shared" si="17"/>
        <v>48821</v>
      </c>
      <c r="D133" s="6">
        <f>IFERROR((PPMT(المدخلات!$E$55/12,B133,$C$6,المدخلات!$E$54,-المدخلات!$E$65,0))," ")</f>
        <v>-5049.1068973571118</v>
      </c>
      <c r="E133" s="6">
        <f>IFERROR(((IPMT(المدخلات!$E$55/12,B133,$C$6,المدخلات!$E$54,-المدخلات!$E$65,0)))," ")</f>
        <v>-5268.4281048129897</v>
      </c>
      <c r="F133" s="6">
        <f t="shared" si="19"/>
        <v>-455573.8840290684</v>
      </c>
      <c r="G133" s="6">
        <f t="shared" si="18"/>
        <v>-741260.17622266337</v>
      </c>
      <c r="H133" s="6">
        <f t="shared" si="14"/>
        <v>-10317.535002170102</v>
      </c>
      <c r="I133" s="6">
        <f t="shared" si="15"/>
        <v>1144426.1159709315</v>
      </c>
      <c r="J133" s="6" t="str">
        <f>IF(B133&lt;&gt;"",IF(AND(المدخلات!$H$54="سنوي",MOD(B133,12)=0),المدخلات!$J$54,IF(AND(المدخلات!$H$54="القسط (الدفعة) الاول",B133=1),المدخلات!$J$54,IF(المدخلات!$H$54="شهري",المدخلات!$J$54,""))),"")</f>
        <v/>
      </c>
      <c r="K133" s="6" t="str">
        <f>IF(B133&lt;&gt;"",IF(AND(المدخلات!$H$55="سنوي",MOD(B133,12)=0),المدخلات!$J$55,IF(AND(المدخلات!$H$55="القسط (الدفعة) الاول",B133=1),المدخلات!$J$55,IF(المدخلات!$H$55="شهري",المدخلات!$J$55,""))),"")</f>
        <v/>
      </c>
      <c r="L133" s="6">
        <f>IF(B133&lt;&gt;"",IF(AND(المدخلات!$H$56="سنوي",MOD(B133,12)=0),المدخلات!$J$56,IF(AND(المدخلات!$H$56="القسط (الدفعة) الاول",B133=1),المدخلات!$J$56,IF(المدخلات!$H$56="شهري",المدخلات!$J$56,""))),"")</f>
        <v>208.33333333333334</v>
      </c>
      <c r="M133" s="6" t="str">
        <f>IF(B133&lt;&gt;"",IF(AND(المدخلات!$H$57="سنوي",MOD(B133,12)=0),المدخلات!$J$57,IF(AND(المدخلات!$H$57="القسط (الدفعة) الاول",B133=1),المدخلات!$J$57,IF(المدخلات!$H$57="شهري",المدخلات!$J$57,""))),"")</f>
        <v/>
      </c>
      <c r="N133" s="6" t="str">
        <f>IF(B133&lt;&gt;"",IF(AND(المدخلات!$H$58="سنوي",MOD(B133,12)=0),المدخلات!$J$58,IF(AND(المدخلات!$H$58="القسط (الدفعة) الاول",B133=1),المدخلات!$J$58,IF(المدخلات!$H$58="شهري",المدخلات!$J$58,IF(AND(المدخلات!$H$58="End of the loan",B133=المدخلات!$E$58),المدخلات!$J$58,"")))),"")</f>
        <v/>
      </c>
      <c r="O133" s="6">
        <f t="shared" si="10"/>
        <v>208.33333333333334</v>
      </c>
      <c r="P133" s="4">
        <f t="shared" si="11"/>
        <v>10525.868335503435</v>
      </c>
      <c r="T133" s="9">
        <f t="shared" si="12"/>
        <v>48821</v>
      </c>
      <c r="U133" s="5">
        <f t="shared" si="13"/>
        <v>10525.87</v>
      </c>
    </row>
    <row r="134" spans="2:21" x14ac:dyDescent="0.2">
      <c r="B134" s="16">
        <f t="shared" si="16"/>
        <v>117</v>
      </c>
      <c r="C134" s="9">
        <f t="shared" si="17"/>
        <v>48852</v>
      </c>
      <c r="D134" s="6">
        <f>IFERROR((PPMT(المدخلات!$E$55/12,B134,$C$6,المدخلات!$E$54,-المدخلات!$E$65,0))," ")</f>
        <v>-5072.2486373033325</v>
      </c>
      <c r="E134" s="6">
        <f>IFERROR(((IPMT(المدخلات!$E$55/12,B134,$C$6,المدخلات!$E$54,-المدخلات!$E$65,0)))," ")</f>
        <v>-5245.286364866769</v>
      </c>
      <c r="F134" s="6">
        <f t="shared" si="19"/>
        <v>-460646.13266637176</v>
      </c>
      <c r="G134" s="6">
        <f t="shared" si="18"/>
        <v>-746505.46258753014</v>
      </c>
      <c r="H134" s="6">
        <f t="shared" si="14"/>
        <v>-10317.535002170102</v>
      </c>
      <c r="I134" s="6">
        <f t="shared" si="15"/>
        <v>1139353.8673336282</v>
      </c>
      <c r="J134" s="6" t="str">
        <f>IF(B134&lt;&gt;"",IF(AND(المدخلات!$H$54="سنوي",MOD(B134,12)=0),المدخلات!$J$54,IF(AND(المدخلات!$H$54="القسط (الدفعة) الاول",B134=1),المدخلات!$J$54,IF(المدخلات!$H$54="شهري",المدخلات!$J$54,""))),"")</f>
        <v/>
      </c>
      <c r="K134" s="6" t="str">
        <f>IF(B134&lt;&gt;"",IF(AND(المدخلات!$H$55="سنوي",MOD(B134,12)=0),المدخلات!$J$55,IF(AND(المدخلات!$H$55="القسط (الدفعة) الاول",B134=1),المدخلات!$J$55,IF(المدخلات!$H$55="شهري",المدخلات!$J$55,""))),"")</f>
        <v/>
      </c>
      <c r="L134" s="6">
        <f>IF(B134&lt;&gt;"",IF(AND(المدخلات!$H$56="سنوي",MOD(B134,12)=0),المدخلات!$J$56,IF(AND(المدخلات!$H$56="القسط (الدفعة) الاول",B134=1),المدخلات!$J$56,IF(المدخلات!$H$56="شهري",المدخلات!$J$56,""))),"")</f>
        <v>208.33333333333334</v>
      </c>
      <c r="M134" s="6" t="str">
        <f>IF(B134&lt;&gt;"",IF(AND(المدخلات!$H$57="سنوي",MOD(B134,12)=0),المدخلات!$J$57,IF(AND(المدخلات!$H$57="القسط (الدفعة) الاول",B134=1),المدخلات!$J$57,IF(المدخلات!$H$57="شهري",المدخلات!$J$57,""))),"")</f>
        <v/>
      </c>
      <c r="N134" s="6" t="str">
        <f>IF(B134&lt;&gt;"",IF(AND(المدخلات!$H$58="سنوي",MOD(B134,12)=0),المدخلات!$J$58,IF(AND(المدخلات!$H$58="القسط (الدفعة) الاول",B134=1),المدخلات!$J$58,IF(المدخلات!$H$58="شهري",المدخلات!$J$58,IF(AND(المدخلات!$H$58="End of the loan",B134=المدخلات!$E$58),المدخلات!$J$58,"")))),"")</f>
        <v/>
      </c>
      <c r="O134" s="6">
        <f t="shared" si="10"/>
        <v>208.33333333333334</v>
      </c>
      <c r="P134" s="4">
        <f t="shared" si="11"/>
        <v>10525.868335503435</v>
      </c>
      <c r="T134" s="9">
        <f t="shared" si="12"/>
        <v>48852</v>
      </c>
      <c r="U134" s="5">
        <f t="shared" si="13"/>
        <v>10525.87</v>
      </c>
    </row>
    <row r="135" spans="2:21" x14ac:dyDescent="0.2">
      <c r="B135" s="16">
        <f t="shared" si="16"/>
        <v>118</v>
      </c>
      <c r="C135" s="9">
        <f t="shared" si="17"/>
        <v>48882</v>
      </c>
      <c r="D135" s="6">
        <f>IFERROR((PPMT(المدخلات!$E$55/12,B135,$C$6,المدخلات!$E$54,-المدخلات!$E$65,0))," ")</f>
        <v>-5095.4964435576385</v>
      </c>
      <c r="E135" s="6">
        <f>IFERROR(((IPMT(المدخلات!$E$55/12,B135,$C$6,المدخلات!$E$54,-المدخلات!$E$65,0)))," ")</f>
        <v>-5222.038558612463</v>
      </c>
      <c r="F135" s="6">
        <f t="shared" si="19"/>
        <v>-465741.62910992937</v>
      </c>
      <c r="G135" s="6">
        <f t="shared" si="18"/>
        <v>-751727.5011461426</v>
      </c>
      <c r="H135" s="6">
        <f t="shared" si="14"/>
        <v>-10317.535002170102</v>
      </c>
      <c r="I135" s="6">
        <f t="shared" si="15"/>
        <v>1134258.3708900707</v>
      </c>
      <c r="J135" s="6" t="str">
        <f>IF(B135&lt;&gt;"",IF(AND(المدخلات!$H$54="سنوي",MOD(B135,12)=0),المدخلات!$J$54,IF(AND(المدخلات!$H$54="القسط (الدفعة) الاول",B135=1),المدخلات!$J$54,IF(المدخلات!$H$54="شهري",المدخلات!$J$54,""))),"")</f>
        <v/>
      </c>
      <c r="K135" s="6" t="str">
        <f>IF(B135&lt;&gt;"",IF(AND(المدخلات!$H$55="سنوي",MOD(B135,12)=0),المدخلات!$J$55,IF(AND(المدخلات!$H$55="القسط (الدفعة) الاول",B135=1),المدخلات!$J$55,IF(المدخلات!$H$55="شهري",المدخلات!$J$55,""))),"")</f>
        <v/>
      </c>
      <c r="L135" s="6">
        <f>IF(B135&lt;&gt;"",IF(AND(المدخلات!$H$56="سنوي",MOD(B135,12)=0),المدخلات!$J$56,IF(AND(المدخلات!$H$56="القسط (الدفعة) الاول",B135=1),المدخلات!$J$56,IF(المدخلات!$H$56="شهري",المدخلات!$J$56,""))),"")</f>
        <v>208.33333333333334</v>
      </c>
      <c r="M135" s="6" t="str">
        <f>IF(B135&lt;&gt;"",IF(AND(المدخلات!$H$57="سنوي",MOD(B135,12)=0),المدخلات!$J$57,IF(AND(المدخلات!$H$57="القسط (الدفعة) الاول",B135=1),المدخلات!$J$57,IF(المدخلات!$H$57="شهري",المدخلات!$J$57,""))),"")</f>
        <v/>
      </c>
      <c r="N135" s="6" t="str">
        <f>IF(B135&lt;&gt;"",IF(AND(المدخلات!$H$58="سنوي",MOD(B135,12)=0),المدخلات!$J$58,IF(AND(المدخلات!$H$58="القسط (الدفعة) الاول",B135=1),المدخلات!$J$58,IF(المدخلات!$H$58="شهري",المدخلات!$J$58,IF(AND(المدخلات!$H$58="End of the loan",B135=المدخلات!$E$58),المدخلات!$J$58,"")))),"")</f>
        <v/>
      </c>
      <c r="O135" s="6">
        <f t="shared" si="10"/>
        <v>208.33333333333334</v>
      </c>
      <c r="P135" s="4">
        <f t="shared" si="11"/>
        <v>10525.868335503435</v>
      </c>
      <c r="T135" s="9">
        <f t="shared" si="12"/>
        <v>48882</v>
      </c>
      <c r="U135" s="5">
        <f t="shared" si="13"/>
        <v>10525.87</v>
      </c>
    </row>
    <row r="136" spans="2:21" x14ac:dyDescent="0.2">
      <c r="B136" s="16">
        <f t="shared" si="16"/>
        <v>119</v>
      </c>
      <c r="C136" s="9">
        <f t="shared" si="17"/>
        <v>48913</v>
      </c>
      <c r="D136" s="6">
        <f>IFERROR((PPMT(المدخلات!$E$55/12,B136,$C$6,المدخلات!$E$54,-المدخلات!$E$65,0))," ")</f>
        <v>-5118.8508022572787</v>
      </c>
      <c r="E136" s="6">
        <f>IFERROR(((IPMT(المدخلات!$E$55/12,B136,$C$6,المدخلات!$E$54,-المدخلات!$E$65,0)))," ")</f>
        <v>-5198.6841999128228</v>
      </c>
      <c r="F136" s="6">
        <f t="shared" si="19"/>
        <v>-470860.47991218662</v>
      </c>
      <c r="G136" s="6">
        <f t="shared" si="18"/>
        <v>-756926.18534605543</v>
      </c>
      <c r="H136" s="6">
        <f t="shared" si="14"/>
        <v>-10317.535002170102</v>
      </c>
      <c r="I136" s="6">
        <f t="shared" si="15"/>
        <v>1129139.5200878135</v>
      </c>
      <c r="J136" s="6" t="str">
        <f>IF(B136&lt;&gt;"",IF(AND(المدخلات!$H$54="سنوي",MOD(B136,12)=0),المدخلات!$J$54,IF(AND(المدخلات!$H$54="القسط (الدفعة) الاول",B136=1),المدخلات!$J$54,IF(المدخلات!$H$54="شهري",المدخلات!$J$54,""))),"")</f>
        <v/>
      </c>
      <c r="K136" s="6" t="str">
        <f>IF(B136&lt;&gt;"",IF(AND(المدخلات!$H$55="سنوي",MOD(B136,12)=0),المدخلات!$J$55,IF(AND(المدخلات!$H$55="القسط (الدفعة) الاول",B136=1),المدخلات!$J$55,IF(المدخلات!$H$55="شهري",المدخلات!$J$55,""))),"")</f>
        <v/>
      </c>
      <c r="L136" s="6">
        <f>IF(B136&lt;&gt;"",IF(AND(المدخلات!$H$56="سنوي",MOD(B136,12)=0),المدخلات!$J$56,IF(AND(المدخلات!$H$56="القسط (الدفعة) الاول",B136=1),المدخلات!$J$56,IF(المدخلات!$H$56="شهري",المدخلات!$J$56,""))),"")</f>
        <v>208.33333333333334</v>
      </c>
      <c r="M136" s="6" t="str">
        <f>IF(B136&lt;&gt;"",IF(AND(المدخلات!$H$57="سنوي",MOD(B136,12)=0),المدخلات!$J$57,IF(AND(المدخلات!$H$57="القسط (الدفعة) الاول",B136=1),المدخلات!$J$57,IF(المدخلات!$H$57="شهري",المدخلات!$J$57,""))),"")</f>
        <v/>
      </c>
      <c r="N136" s="6" t="str">
        <f>IF(B136&lt;&gt;"",IF(AND(المدخلات!$H$58="سنوي",MOD(B136,12)=0),المدخلات!$J$58,IF(AND(المدخلات!$H$58="القسط (الدفعة) الاول",B136=1),المدخلات!$J$58,IF(المدخلات!$H$58="شهري",المدخلات!$J$58,IF(AND(المدخلات!$H$58="End of the loan",B136=المدخلات!$E$58),المدخلات!$J$58,"")))),"")</f>
        <v/>
      </c>
      <c r="O136" s="6">
        <f t="shared" si="10"/>
        <v>208.33333333333334</v>
      </c>
      <c r="P136" s="4">
        <f t="shared" si="11"/>
        <v>10525.868335503435</v>
      </c>
      <c r="T136" s="9">
        <f t="shared" si="12"/>
        <v>48913</v>
      </c>
      <c r="U136" s="5">
        <f t="shared" si="13"/>
        <v>10525.87</v>
      </c>
    </row>
    <row r="137" spans="2:21" x14ac:dyDescent="0.2">
      <c r="B137" s="16">
        <f t="shared" si="16"/>
        <v>120</v>
      </c>
      <c r="C137" s="9">
        <f t="shared" si="17"/>
        <v>48943</v>
      </c>
      <c r="D137" s="6">
        <f>IFERROR((PPMT(المدخلات!$E$55/12,B137,$C$6,المدخلات!$E$54,-المدخلات!$E$65,0))," ")</f>
        <v>-5142.3122017676242</v>
      </c>
      <c r="E137" s="6">
        <f>IFERROR(((IPMT(المدخلات!$E$55/12,B137,$C$6,المدخلات!$E$54,-المدخلات!$E$65,0)))," ")</f>
        <v>-5175.2228004024773</v>
      </c>
      <c r="F137" s="6">
        <f t="shared" si="19"/>
        <v>-476002.79211395426</v>
      </c>
      <c r="G137" s="6">
        <f t="shared" si="18"/>
        <v>-762101.40814645786</v>
      </c>
      <c r="H137" s="6">
        <f t="shared" si="14"/>
        <v>-10317.535002170102</v>
      </c>
      <c r="I137" s="6">
        <f t="shared" si="15"/>
        <v>1123997.2078860458</v>
      </c>
      <c r="J137" s="6" t="str">
        <f>IF(B137&lt;&gt;"",IF(AND(المدخلات!$H$54="سنوي",MOD(B137,12)=0),المدخلات!$J$54,IF(AND(المدخلات!$H$54="القسط (الدفعة) الاول",B137=1),المدخلات!$J$54,IF(المدخلات!$H$54="شهري",المدخلات!$J$54,""))),"")</f>
        <v/>
      </c>
      <c r="K137" s="6" t="str">
        <f>IF(B137&lt;&gt;"",IF(AND(المدخلات!$H$55="سنوي",MOD(B137,12)=0),المدخلات!$J$55,IF(AND(المدخلات!$H$55="القسط (الدفعة) الاول",B137=1),المدخلات!$J$55,IF(المدخلات!$H$55="شهري",المدخلات!$J$55,""))),"")</f>
        <v/>
      </c>
      <c r="L137" s="6">
        <f>IF(B137&lt;&gt;"",IF(AND(المدخلات!$H$56="سنوي",MOD(B137,12)=0),المدخلات!$J$56,IF(AND(المدخلات!$H$56="القسط (الدفعة) الاول",B137=1),المدخلات!$J$56,IF(المدخلات!$H$56="شهري",المدخلات!$J$56,""))),"")</f>
        <v>208.33333333333334</v>
      </c>
      <c r="M137" s="6" t="str">
        <f>IF(B137&lt;&gt;"",IF(AND(المدخلات!$H$57="سنوي",MOD(B137,12)=0),المدخلات!$J$57,IF(AND(المدخلات!$H$57="القسط (الدفعة) الاول",B137=1),المدخلات!$J$57,IF(المدخلات!$H$57="شهري",المدخلات!$J$57,""))),"")</f>
        <v/>
      </c>
      <c r="N137" s="6">
        <f>IF(B137&lt;&gt;"",IF(AND(المدخلات!$H$58="سنوي",MOD(B137,12)=0),المدخلات!$J$58,IF(AND(المدخلات!$H$58="القسط (الدفعة) الاول",B137=1),المدخلات!$J$58,IF(المدخلات!$H$58="شهري",المدخلات!$J$58,IF(AND(المدخلات!$H$58="End of the loan",B137=المدخلات!$E$58),المدخلات!$J$58,"")))),"")</f>
        <v>0</v>
      </c>
      <c r="O137" s="6">
        <f t="shared" si="10"/>
        <v>208.33333333333334</v>
      </c>
      <c r="P137" s="4">
        <f t="shared" si="11"/>
        <v>10525.868335503435</v>
      </c>
      <c r="T137" s="9">
        <f t="shared" si="12"/>
        <v>48943</v>
      </c>
      <c r="U137" s="5">
        <f t="shared" si="13"/>
        <v>10525.87</v>
      </c>
    </row>
    <row r="138" spans="2:21" x14ac:dyDescent="0.2">
      <c r="B138" s="16">
        <f t="shared" si="16"/>
        <v>121</v>
      </c>
      <c r="C138" s="9">
        <f t="shared" si="17"/>
        <v>48974</v>
      </c>
      <c r="D138" s="6">
        <f>IFERROR((PPMT(المدخلات!$E$55/12,B138,$C$6,المدخلات!$E$54,-المدخلات!$E$65,0))," ")</f>
        <v>-5165.8811326923924</v>
      </c>
      <c r="E138" s="6">
        <f>IFERROR(((IPMT(المدخلات!$E$55/12,B138,$C$6,المدخلات!$E$54,-المدخلات!$E$65,0)))," ")</f>
        <v>-5151.65386947771</v>
      </c>
      <c r="F138" s="6">
        <f t="shared" si="19"/>
        <v>-481168.67324664665</v>
      </c>
      <c r="G138" s="6">
        <f t="shared" si="18"/>
        <v>-767253.06201593555</v>
      </c>
      <c r="H138" s="6">
        <f t="shared" si="14"/>
        <v>-10317.535002170102</v>
      </c>
      <c r="I138" s="6">
        <f t="shared" si="15"/>
        <v>1118831.3267533532</v>
      </c>
      <c r="J138" s="6" t="str">
        <f>IF(B138&lt;&gt;"",IF(AND(المدخلات!$H$54="سنوي",MOD(B138,12)=0),المدخلات!$J$54,IF(AND(المدخلات!$H$54="القسط (الدفعة) الاول",B138=1),المدخلات!$J$54,IF(المدخلات!$H$54="شهري",المدخلات!$J$54,""))),"")</f>
        <v/>
      </c>
      <c r="K138" s="6" t="str">
        <f>IF(B138&lt;&gt;"",IF(AND(المدخلات!$H$55="سنوي",MOD(B138,12)=0),المدخلات!$J$55,IF(AND(المدخلات!$H$55="القسط (الدفعة) الاول",B138=1),المدخلات!$J$55,IF(المدخلات!$H$55="شهري",المدخلات!$J$55,""))),"")</f>
        <v/>
      </c>
      <c r="L138" s="6">
        <f>IF(B138&lt;&gt;"",IF(AND(المدخلات!$H$56="سنوي",MOD(B138,12)=0),المدخلات!$J$56,IF(AND(المدخلات!$H$56="القسط (الدفعة) الاول",B138=1),المدخلات!$J$56,IF(المدخلات!$H$56="شهري",المدخلات!$J$56,""))),"")</f>
        <v>208.33333333333334</v>
      </c>
      <c r="M138" s="6" t="str">
        <f>IF(B138&lt;&gt;"",IF(AND(المدخلات!$H$57="سنوي",MOD(B138,12)=0),المدخلات!$J$57,IF(AND(المدخلات!$H$57="القسط (الدفعة) الاول",B138=1),المدخلات!$J$57,IF(المدخلات!$H$57="شهري",المدخلات!$J$57,""))),"")</f>
        <v/>
      </c>
      <c r="N138" s="6" t="str">
        <f>IF(B138&lt;&gt;"",IF(AND(المدخلات!$H$58="سنوي",MOD(B138,12)=0),المدخلات!$J$58,IF(AND(المدخلات!$H$58="القسط (الدفعة) الاول",B138=1),المدخلات!$J$58,IF(المدخلات!$H$58="شهري",المدخلات!$J$58,IF(AND(المدخلات!$H$58="End of the loan",B138=المدخلات!$E$58),المدخلات!$J$58,"")))),"")</f>
        <v/>
      </c>
      <c r="O138" s="6">
        <f t="shared" si="10"/>
        <v>208.33333333333334</v>
      </c>
      <c r="P138" s="4">
        <f t="shared" si="11"/>
        <v>10525.868335503435</v>
      </c>
      <c r="T138" s="9">
        <f t="shared" si="12"/>
        <v>48974</v>
      </c>
      <c r="U138" s="5">
        <f t="shared" si="13"/>
        <v>10525.87</v>
      </c>
    </row>
    <row r="139" spans="2:21" x14ac:dyDescent="0.2">
      <c r="B139" s="16">
        <f t="shared" si="16"/>
        <v>122</v>
      </c>
      <c r="C139" s="9">
        <f t="shared" si="17"/>
        <v>49003</v>
      </c>
      <c r="D139" s="6">
        <f>IFERROR((PPMT(المدخلات!$E$55/12,B139,$C$6,المدخلات!$E$54,-المدخلات!$E$65,0))," ")</f>
        <v>-5189.5580878838991</v>
      </c>
      <c r="E139" s="6">
        <f>IFERROR(((IPMT(المدخلات!$E$55/12,B139,$C$6,المدخلات!$E$54,-المدخلات!$E$65,0)))," ")</f>
        <v>-5127.9769142862024</v>
      </c>
      <c r="F139" s="6">
        <f t="shared" si="19"/>
        <v>-486358.23133453057</v>
      </c>
      <c r="G139" s="6">
        <f t="shared" si="18"/>
        <v>-772381.03893022169</v>
      </c>
      <c r="H139" s="6">
        <f t="shared" si="14"/>
        <v>-10317.535002170102</v>
      </c>
      <c r="I139" s="6">
        <f t="shared" si="15"/>
        <v>1113641.7686654695</v>
      </c>
      <c r="J139" s="6" t="str">
        <f>IF(B139&lt;&gt;"",IF(AND(المدخلات!$H$54="سنوي",MOD(B139,12)=0),المدخلات!$J$54,IF(AND(المدخلات!$H$54="القسط (الدفعة) الاول",B139=1),المدخلات!$J$54,IF(المدخلات!$H$54="شهري",المدخلات!$J$54,""))),"")</f>
        <v/>
      </c>
      <c r="K139" s="6" t="str">
        <f>IF(B139&lt;&gt;"",IF(AND(المدخلات!$H$55="سنوي",MOD(B139,12)=0),المدخلات!$J$55,IF(AND(المدخلات!$H$55="القسط (الدفعة) الاول",B139=1),المدخلات!$J$55,IF(المدخلات!$H$55="شهري",المدخلات!$J$55,""))),"")</f>
        <v/>
      </c>
      <c r="L139" s="6">
        <f>IF(B139&lt;&gt;"",IF(AND(المدخلات!$H$56="سنوي",MOD(B139,12)=0),المدخلات!$J$56,IF(AND(المدخلات!$H$56="القسط (الدفعة) الاول",B139=1),المدخلات!$J$56,IF(المدخلات!$H$56="شهري",المدخلات!$J$56,""))),"")</f>
        <v>208.33333333333334</v>
      </c>
      <c r="M139" s="6" t="str">
        <f>IF(B139&lt;&gt;"",IF(AND(المدخلات!$H$57="سنوي",MOD(B139,12)=0),المدخلات!$J$57,IF(AND(المدخلات!$H$57="القسط (الدفعة) الاول",B139=1),المدخلات!$J$57,IF(المدخلات!$H$57="شهري",المدخلات!$J$57,""))),"")</f>
        <v/>
      </c>
      <c r="N139" s="6" t="str">
        <f>IF(B139&lt;&gt;"",IF(AND(المدخلات!$H$58="سنوي",MOD(B139,12)=0),المدخلات!$J$58,IF(AND(المدخلات!$H$58="القسط (الدفعة) الاول",B139=1),المدخلات!$J$58,IF(المدخلات!$H$58="شهري",المدخلات!$J$58,IF(AND(المدخلات!$H$58="End of the loan",B139=المدخلات!$E$58),المدخلات!$J$58,"")))),"")</f>
        <v/>
      </c>
      <c r="O139" s="6">
        <f t="shared" si="10"/>
        <v>208.33333333333334</v>
      </c>
      <c r="P139" s="4">
        <f t="shared" si="11"/>
        <v>10525.868335503435</v>
      </c>
      <c r="T139" s="9">
        <f t="shared" si="12"/>
        <v>49003</v>
      </c>
      <c r="U139" s="5">
        <f t="shared" si="13"/>
        <v>10525.87</v>
      </c>
    </row>
    <row r="140" spans="2:21" x14ac:dyDescent="0.2">
      <c r="B140" s="16">
        <f t="shared" si="16"/>
        <v>123</v>
      </c>
      <c r="C140" s="9">
        <f t="shared" si="17"/>
        <v>49033</v>
      </c>
      <c r="D140" s="6">
        <f>IFERROR((PPMT(المدخلات!$E$55/12,B140,$C$6,المدخلات!$E$54,-المدخلات!$E$65,0))," ")</f>
        <v>-5213.3435624533677</v>
      </c>
      <c r="E140" s="6">
        <f>IFERROR(((IPMT(المدخلات!$E$55/12,B140,$C$6,المدخلات!$E$54,-المدخلات!$E$65,0)))," ")</f>
        <v>-5104.1914397167347</v>
      </c>
      <c r="F140" s="6">
        <f t="shared" si="19"/>
        <v>-491571.57489698392</v>
      </c>
      <c r="G140" s="6">
        <f t="shared" si="18"/>
        <v>-777485.23036993842</v>
      </c>
      <c r="H140" s="6">
        <f t="shared" si="14"/>
        <v>-10317.535002170102</v>
      </c>
      <c r="I140" s="6">
        <f t="shared" si="15"/>
        <v>1108428.4251030162</v>
      </c>
      <c r="J140" s="6" t="str">
        <f>IF(B140&lt;&gt;"",IF(AND(المدخلات!$H$54="سنوي",MOD(B140,12)=0),المدخلات!$J$54,IF(AND(المدخلات!$H$54="القسط (الدفعة) الاول",B140=1),المدخلات!$J$54,IF(المدخلات!$H$54="شهري",المدخلات!$J$54,""))),"")</f>
        <v/>
      </c>
      <c r="K140" s="6" t="str">
        <f>IF(B140&lt;&gt;"",IF(AND(المدخلات!$H$55="سنوي",MOD(B140,12)=0),المدخلات!$J$55,IF(AND(المدخلات!$H$55="القسط (الدفعة) الاول",B140=1),المدخلات!$J$55,IF(المدخلات!$H$55="شهري",المدخلات!$J$55,""))),"")</f>
        <v/>
      </c>
      <c r="L140" s="6">
        <f>IF(B140&lt;&gt;"",IF(AND(المدخلات!$H$56="سنوي",MOD(B140,12)=0),المدخلات!$J$56,IF(AND(المدخلات!$H$56="القسط (الدفعة) الاول",B140=1),المدخلات!$J$56,IF(المدخلات!$H$56="شهري",المدخلات!$J$56,""))),"")</f>
        <v>208.33333333333334</v>
      </c>
      <c r="M140" s="6" t="str">
        <f>IF(B140&lt;&gt;"",IF(AND(المدخلات!$H$57="سنوي",MOD(B140,12)=0),المدخلات!$J$57,IF(AND(المدخلات!$H$57="القسط (الدفعة) الاول",B140=1),المدخلات!$J$57,IF(المدخلات!$H$57="شهري",المدخلات!$J$57,""))),"")</f>
        <v/>
      </c>
      <c r="N140" s="6" t="str">
        <f>IF(B140&lt;&gt;"",IF(AND(المدخلات!$H$58="سنوي",MOD(B140,12)=0),المدخلات!$J$58,IF(AND(المدخلات!$H$58="القسط (الدفعة) الاول",B140=1),المدخلات!$J$58,IF(المدخلات!$H$58="شهري",المدخلات!$J$58,IF(AND(المدخلات!$H$58="End of the loan",B140=المدخلات!$E$58),المدخلات!$J$58,"")))),"")</f>
        <v/>
      </c>
      <c r="O140" s="6">
        <f t="shared" si="10"/>
        <v>208.33333333333334</v>
      </c>
      <c r="P140" s="4">
        <f t="shared" si="11"/>
        <v>10525.868335503435</v>
      </c>
      <c r="T140" s="9">
        <f t="shared" si="12"/>
        <v>49033</v>
      </c>
      <c r="U140" s="5">
        <f t="shared" si="13"/>
        <v>10525.87</v>
      </c>
    </row>
    <row r="141" spans="2:21" x14ac:dyDescent="0.2">
      <c r="B141" s="16">
        <f t="shared" si="16"/>
        <v>124</v>
      </c>
      <c r="C141" s="9">
        <f t="shared" si="17"/>
        <v>49064</v>
      </c>
      <c r="D141" s="6">
        <f>IFERROR((PPMT(المدخلات!$E$55/12,B141,$C$6,المدخلات!$E$54,-المدخلات!$E$65,0))," ")</f>
        <v>-5237.2380537812778</v>
      </c>
      <c r="E141" s="6">
        <f>IFERROR(((IPMT(المدخلات!$E$55/12,B141,$C$6,المدخلات!$E$54,-المدخلات!$E$65,0)))," ")</f>
        <v>-5080.2969483888219</v>
      </c>
      <c r="F141" s="6">
        <f t="shared" si="19"/>
        <v>-496808.81295076519</v>
      </c>
      <c r="G141" s="6">
        <f t="shared" si="18"/>
        <v>-782565.52731832722</v>
      </c>
      <c r="H141" s="6">
        <f t="shared" si="14"/>
        <v>-10317.5350021701</v>
      </c>
      <c r="I141" s="6">
        <f t="shared" si="15"/>
        <v>1103191.1870492348</v>
      </c>
      <c r="J141" s="6" t="str">
        <f>IF(B141&lt;&gt;"",IF(AND(المدخلات!$H$54="سنوي",MOD(B141,12)=0),المدخلات!$J$54,IF(AND(المدخلات!$H$54="القسط (الدفعة) الاول",B141=1),المدخلات!$J$54,IF(المدخلات!$H$54="شهري",المدخلات!$J$54,""))),"")</f>
        <v/>
      </c>
      <c r="K141" s="6" t="str">
        <f>IF(B141&lt;&gt;"",IF(AND(المدخلات!$H$55="سنوي",MOD(B141,12)=0),المدخلات!$J$55,IF(AND(المدخلات!$H$55="القسط (الدفعة) الاول",B141=1),المدخلات!$J$55,IF(المدخلات!$H$55="شهري",المدخلات!$J$55,""))),"")</f>
        <v/>
      </c>
      <c r="L141" s="6">
        <f>IF(B141&lt;&gt;"",IF(AND(المدخلات!$H$56="سنوي",MOD(B141,12)=0),المدخلات!$J$56,IF(AND(المدخلات!$H$56="القسط (الدفعة) الاول",B141=1),المدخلات!$J$56,IF(المدخلات!$H$56="شهري",المدخلات!$J$56,""))),"")</f>
        <v>208.33333333333334</v>
      </c>
      <c r="M141" s="6" t="str">
        <f>IF(B141&lt;&gt;"",IF(AND(المدخلات!$H$57="سنوي",MOD(B141,12)=0),المدخلات!$J$57,IF(AND(المدخلات!$H$57="القسط (الدفعة) الاول",B141=1),المدخلات!$J$57,IF(المدخلات!$H$57="شهري",المدخلات!$J$57,""))),"")</f>
        <v/>
      </c>
      <c r="N141" s="6" t="str">
        <f>IF(B141&lt;&gt;"",IF(AND(المدخلات!$H$58="سنوي",MOD(B141,12)=0),المدخلات!$J$58,IF(AND(المدخلات!$H$58="القسط (الدفعة) الاول",B141=1),المدخلات!$J$58,IF(المدخلات!$H$58="شهري",المدخلات!$J$58,IF(AND(المدخلات!$H$58="End of the loan",B141=المدخلات!$E$58),المدخلات!$J$58,"")))),"")</f>
        <v/>
      </c>
      <c r="O141" s="6">
        <f t="shared" si="10"/>
        <v>208.33333333333334</v>
      </c>
      <c r="P141" s="4">
        <f t="shared" si="11"/>
        <v>10525.868335503434</v>
      </c>
      <c r="T141" s="9">
        <f t="shared" si="12"/>
        <v>49064</v>
      </c>
      <c r="U141" s="5">
        <f t="shared" si="13"/>
        <v>10525.87</v>
      </c>
    </row>
    <row r="142" spans="2:21" x14ac:dyDescent="0.2">
      <c r="B142" s="16">
        <f t="shared" si="16"/>
        <v>125</v>
      </c>
      <c r="C142" s="9">
        <f t="shared" si="17"/>
        <v>49094</v>
      </c>
      <c r="D142" s="6">
        <f>IFERROR((PPMT(المدخلات!$E$55/12,B142,$C$6,المدخلات!$E$54,-المدخلات!$E$65,0))," ")</f>
        <v>-5261.242061527777</v>
      </c>
      <c r="E142" s="6">
        <f>IFERROR(((IPMT(المدخلات!$E$55/12,B142,$C$6,المدخلات!$E$54,-المدخلات!$E$65,0)))," ")</f>
        <v>-5056.2929406423245</v>
      </c>
      <c r="F142" s="6">
        <f t="shared" si="19"/>
        <v>-502070.05501229299</v>
      </c>
      <c r="G142" s="6">
        <f t="shared" si="18"/>
        <v>-787621.82025896956</v>
      </c>
      <c r="H142" s="6">
        <f t="shared" si="14"/>
        <v>-10317.535002170102</v>
      </c>
      <c r="I142" s="6">
        <f t="shared" si="15"/>
        <v>1097929.9449877071</v>
      </c>
      <c r="J142" s="6" t="str">
        <f>IF(B142&lt;&gt;"",IF(AND(المدخلات!$H$54="سنوي",MOD(B142,12)=0),المدخلات!$J$54,IF(AND(المدخلات!$H$54="القسط (الدفعة) الاول",B142=1),المدخلات!$J$54,IF(المدخلات!$H$54="شهري",المدخلات!$J$54,""))),"")</f>
        <v/>
      </c>
      <c r="K142" s="6" t="str">
        <f>IF(B142&lt;&gt;"",IF(AND(المدخلات!$H$55="سنوي",MOD(B142,12)=0),المدخلات!$J$55,IF(AND(المدخلات!$H$55="القسط (الدفعة) الاول",B142=1),المدخلات!$J$55,IF(المدخلات!$H$55="شهري",المدخلات!$J$55,""))),"")</f>
        <v/>
      </c>
      <c r="L142" s="6">
        <f>IF(B142&lt;&gt;"",IF(AND(المدخلات!$H$56="سنوي",MOD(B142,12)=0),المدخلات!$J$56,IF(AND(المدخلات!$H$56="القسط (الدفعة) الاول",B142=1),المدخلات!$J$56,IF(المدخلات!$H$56="شهري",المدخلات!$J$56,""))),"")</f>
        <v>208.33333333333334</v>
      </c>
      <c r="M142" s="6" t="str">
        <f>IF(B142&lt;&gt;"",IF(AND(المدخلات!$H$57="سنوي",MOD(B142,12)=0),المدخلات!$J$57,IF(AND(المدخلات!$H$57="القسط (الدفعة) الاول",B142=1),المدخلات!$J$57,IF(المدخلات!$H$57="شهري",المدخلات!$J$57,""))),"")</f>
        <v/>
      </c>
      <c r="N142" s="6" t="str">
        <f>IF(B142&lt;&gt;"",IF(AND(المدخلات!$H$58="سنوي",MOD(B142,12)=0),المدخلات!$J$58,IF(AND(المدخلات!$H$58="القسط (الدفعة) الاول",B142=1),المدخلات!$J$58,IF(المدخلات!$H$58="شهري",المدخلات!$J$58,IF(AND(المدخلات!$H$58="End of the loan",B142=المدخلات!$E$58),المدخلات!$J$58,"")))),"")</f>
        <v/>
      </c>
      <c r="O142" s="6">
        <f t="shared" si="10"/>
        <v>208.33333333333334</v>
      </c>
      <c r="P142" s="4">
        <f t="shared" si="11"/>
        <v>10525.868335503435</v>
      </c>
      <c r="T142" s="9">
        <f t="shared" si="12"/>
        <v>49094</v>
      </c>
      <c r="U142" s="5">
        <f t="shared" si="13"/>
        <v>10525.87</v>
      </c>
    </row>
    <row r="143" spans="2:21" x14ac:dyDescent="0.2">
      <c r="B143" s="16">
        <f t="shared" si="16"/>
        <v>126</v>
      </c>
      <c r="C143" s="9">
        <f t="shared" si="17"/>
        <v>49125</v>
      </c>
      <c r="D143" s="6">
        <f>IFERROR((PPMT(المدخلات!$E$55/12,B143,$C$6,المدخلات!$E$54,-المدخلات!$E$65,0))," ")</f>
        <v>-5285.356087643112</v>
      </c>
      <c r="E143" s="6">
        <f>IFERROR(((IPMT(المدخلات!$E$55/12,B143,$C$6,المدخلات!$E$54,-المدخلات!$E$65,0)))," ")</f>
        <v>-5032.1789145269895</v>
      </c>
      <c r="F143" s="6">
        <f t="shared" si="19"/>
        <v>-507355.41109993611</v>
      </c>
      <c r="G143" s="6">
        <f t="shared" si="18"/>
        <v>-792653.9991734965</v>
      </c>
      <c r="H143" s="6">
        <f t="shared" si="14"/>
        <v>-10317.535002170102</v>
      </c>
      <c r="I143" s="6">
        <f t="shared" si="15"/>
        <v>1092644.5889000639</v>
      </c>
      <c r="J143" s="6" t="str">
        <f>IF(B143&lt;&gt;"",IF(AND(المدخلات!$H$54="سنوي",MOD(B143,12)=0),المدخلات!$J$54,IF(AND(المدخلات!$H$54="القسط (الدفعة) الاول",B143=1),المدخلات!$J$54,IF(المدخلات!$H$54="شهري",المدخلات!$J$54,""))),"")</f>
        <v/>
      </c>
      <c r="K143" s="6" t="str">
        <f>IF(B143&lt;&gt;"",IF(AND(المدخلات!$H$55="سنوي",MOD(B143,12)=0),المدخلات!$J$55,IF(AND(المدخلات!$H$55="القسط (الدفعة) الاول",B143=1),المدخلات!$J$55,IF(المدخلات!$H$55="شهري",المدخلات!$J$55,""))),"")</f>
        <v/>
      </c>
      <c r="L143" s="6">
        <f>IF(B143&lt;&gt;"",IF(AND(المدخلات!$H$56="سنوي",MOD(B143,12)=0),المدخلات!$J$56,IF(AND(المدخلات!$H$56="القسط (الدفعة) الاول",B143=1),المدخلات!$J$56,IF(المدخلات!$H$56="شهري",المدخلات!$J$56,""))),"")</f>
        <v>208.33333333333334</v>
      </c>
      <c r="M143" s="6" t="str">
        <f>IF(B143&lt;&gt;"",IF(AND(المدخلات!$H$57="سنوي",MOD(B143,12)=0),المدخلات!$J$57,IF(AND(المدخلات!$H$57="القسط (الدفعة) الاول",B143=1),المدخلات!$J$57,IF(المدخلات!$H$57="شهري",المدخلات!$J$57,""))),"")</f>
        <v/>
      </c>
      <c r="N143" s="6" t="str">
        <f>IF(B143&lt;&gt;"",IF(AND(المدخلات!$H$58="سنوي",MOD(B143,12)=0),المدخلات!$J$58,IF(AND(المدخلات!$H$58="القسط (الدفعة) الاول",B143=1),المدخلات!$J$58,IF(المدخلات!$H$58="شهري",المدخلات!$J$58,IF(AND(المدخلات!$H$58="End of the loan",B143=المدخلات!$E$58),المدخلات!$J$58,"")))),"")</f>
        <v/>
      </c>
      <c r="O143" s="6">
        <f t="shared" si="10"/>
        <v>208.33333333333334</v>
      </c>
      <c r="P143" s="4">
        <f t="shared" si="11"/>
        <v>10525.868335503435</v>
      </c>
      <c r="T143" s="9">
        <f t="shared" si="12"/>
        <v>49125</v>
      </c>
      <c r="U143" s="5">
        <f t="shared" si="13"/>
        <v>10525.87</v>
      </c>
    </row>
    <row r="144" spans="2:21" x14ac:dyDescent="0.2">
      <c r="B144" s="16">
        <f t="shared" si="16"/>
        <v>127</v>
      </c>
      <c r="C144" s="9">
        <f t="shared" si="17"/>
        <v>49155</v>
      </c>
      <c r="D144" s="6">
        <f>IFERROR((PPMT(المدخلات!$E$55/12,B144,$C$6,المدخلات!$E$54,-المدخلات!$E$65,0))," ")</f>
        <v>-5309.580636378143</v>
      </c>
      <c r="E144" s="6">
        <f>IFERROR(((IPMT(المدخلات!$E$55/12,B144,$C$6,المدخلات!$E$54,-المدخلات!$E$65,0)))," ")</f>
        <v>-5007.9543657919585</v>
      </c>
      <c r="F144" s="6">
        <f t="shared" si="19"/>
        <v>-512664.99173631426</v>
      </c>
      <c r="G144" s="6">
        <f t="shared" si="18"/>
        <v>-797661.95353928849</v>
      </c>
      <c r="H144" s="6">
        <f t="shared" si="14"/>
        <v>-10317.535002170102</v>
      </c>
      <c r="I144" s="6">
        <f t="shared" si="15"/>
        <v>1087335.0082636857</v>
      </c>
      <c r="J144" s="6" t="str">
        <f>IF(B144&lt;&gt;"",IF(AND(المدخلات!$H$54="سنوي",MOD(B144,12)=0),المدخلات!$J$54,IF(AND(المدخلات!$H$54="القسط (الدفعة) الاول",B144=1),المدخلات!$J$54,IF(المدخلات!$H$54="شهري",المدخلات!$J$54,""))),"")</f>
        <v/>
      </c>
      <c r="K144" s="6" t="str">
        <f>IF(B144&lt;&gt;"",IF(AND(المدخلات!$H$55="سنوي",MOD(B144,12)=0),المدخلات!$J$55,IF(AND(المدخلات!$H$55="القسط (الدفعة) الاول",B144=1),المدخلات!$J$55,IF(المدخلات!$H$55="شهري",المدخلات!$J$55,""))),"")</f>
        <v/>
      </c>
      <c r="L144" s="6">
        <f>IF(B144&lt;&gt;"",IF(AND(المدخلات!$H$56="سنوي",MOD(B144,12)=0),المدخلات!$J$56,IF(AND(المدخلات!$H$56="القسط (الدفعة) الاول",B144=1),المدخلات!$J$56,IF(المدخلات!$H$56="شهري",المدخلات!$J$56,""))),"")</f>
        <v>208.33333333333334</v>
      </c>
      <c r="M144" s="6" t="str">
        <f>IF(B144&lt;&gt;"",IF(AND(المدخلات!$H$57="سنوي",MOD(B144,12)=0),المدخلات!$J$57,IF(AND(المدخلات!$H$57="القسط (الدفعة) الاول",B144=1),المدخلات!$J$57,IF(المدخلات!$H$57="شهري",المدخلات!$J$57,""))),"")</f>
        <v/>
      </c>
      <c r="N144" s="6" t="str">
        <f>IF(B144&lt;&gt;"",IF(AND(المدخلات!$H$58="سنوي",MOD(B144,12)=0),المدخلات!$J$58,IF(AND(المدخلات!$H$58="القسط (الدفعة) الاول",B144=1),المدخلات!$J$58,IF(المدخلات!$H$58="شهري",المدخلات!$J$58,IF(AND(المدخلات!$H$58="End of the loan",B144=المدخلات!$E$58),المدخلات!$J$58,"")))),"")</f>
        <v/>
      </c>
      <c r="O144" s="6">
        <f t="shared" si="10"/>
        <v>208.33333333333334</v>
      </c>
      <c r="P144" s="4">
        <f t="shared" si="11"/>
        <v>10525.868335503435</v>
      </c>
      <c r="T144" s="9">
        <f t="shared" si="12"/>
        <v>49155</v>
      </c>
      <c r="U144" s="5">
        <f t="shared" si="13"/>
        <v>10525.87</v>
      </c>
    </row>
    <row r="145" spans="2:21" x14ac:dyDescent="0.2">
      <c r="B145" s="16">
        <f t="shared" si="16"/>
        <v>128</v>
      </c>
      <c r="C145" s="9">
        <f t="shared" si="17"/>
        <v>49186</v>
      </c>
      <c r="D145" s="6">
        <f>IFERROR((PPMT(المدخلات!$E$55/12,B145,$C$6,المدخلات!$E$54,-المدخلات!$E$65,0))," ")</f>
        <v>-5333.9162142948762</v>
      </c>
      <c r="E145" s="6">
        <f>IFERROR(((IPMT(المدخلات!$E$55/12,B145,$C$6,المدخلات!$E$54,-المدخلات!$E$65,0)))," ")</f>
        <v>-4983.6187878752262</v>
      </c>
      <c r="F145" s="6">
        <f t="shared" si="19"/>
        <v>-517998.90795060911</v>
      </c>
      <c r="G145" s="6">
        <f t="shared" si="18"/>
        <v>-802645.57232716377</v>
      </c>
      <c r="H145" s="6">
        <f t="shared" si="14"/>
        <v>-10317.535002170102</v>
      </c>
      <c r="I145" s="6">
        <f t="shared" si="15"/>
        <v>1082001.092049391</v>
      </c>
      <c r="J145" s="6" t="str">
        <f>IF(B145&lt;&gt;"",IF(AND(المدخلات!$H$54="سنوي",MOD(B145,12)=0),المدخلات!$J$54,IF(AND(المدخلات!$H$54="القسط (الدفعة) الاول",B145=1),المدخلات!$J$54,IF(المدخلات!$H$54="شهري",المدخلات!$J$54,""))),"")</f>
        <v/>
      </c>
      <c r="K145" s="6" t="str">
        <f>IF(B145&lt;&gt;"",IF(AND(المدخلات!$H$55="سنوي",MOD(B145,12)=0),المدخلات!$J$55,IF(AND(المدخلات!$H$55="القسط (الدفعة) الاول",B145=1),المدخلات!$J$55,IF(المدخلات!$H$55="شهري",المدخلات!$J$55,""))),"")</f>
        <v/>
      </c>
      <c r="L145" s="6">
        <f>IF(B145&lt;&gt;"",IF(AND(المدخلات!$H$56="سنوي",MOD(B145,12)=0),المدخلات!$J$56,IF(AND(المدخلات!$H$56="القسط (الدفعة) الاول",B145=1),المدخلات!$J$56,IF(المدخلات!$H$56="شهري",المدخلات!$J$56,""))),"")</f>
        <v>208.33333333333334</v>
      </c>
      <c r="M145" s="6" t="str">
        <f>IF(B145&lt;&gt;"",IF(AND(المدخلات!$H$57="سنوي",MOD(B145,12)=0),المدخلات!$J$57,IF(AND(المدخلات!$H$57="القسط (الدفعة) الاول",B145=1),المدخلات!$J$57,IF(المدخلات!$H$57="شهري",المدخلات!$J$57,""))),"")</f>
        <v/>
      </c>
      <c r="N145" s="6" t="str">
        <f>IF(B145&lt;&gt;"",IF(AND(المدخلات!$H$58="سنوي",MOD(B145,12)=0),المدخلات!$J$58,IF(AND(المدخلات!$H$58="القسط (الدفعة) الاول",B145=1),المدخلات!$J$58,IF(المدخلات!$H$58="شهري",المدخلات!$J$58,IF(AND(المدخلات!$H$58="End of the loan",B145=المدخلات!$E$58),المدخلات!$J$58,"")))),"")</f>
        <v/>
      </c>
      <c r="O145" s="6">
        <f t="shared" ref="O145:O208" si="20">IF(B145&lt;&gt;"",SUM(J145:N145),"")</f>
        <v>208.33333333333334</v>
      </c>
      <c r="P145" s="4">
        <f t="shared" ref="P145:P208" si="21">IF(B145&lt;&gt;"",(-H145+O145),"")</f>
        <v>10525.868335503435</v>
      </c>
      <c r="T145" s="9">
        <f t="shared" si="12"/>
        <v>49186</v>
      </c>
      <c r="U145" s="5">
        <f t="shared" si="13"/>
        <v>10525.87</v>
      </c>
    </row>
    <row r="146" spans="2:21" x14ac:dyDescent="0.2">
      <c r="B146" s="16">
        <f t="shared" si="16"/>
        <v>129</v>
      </c>
      <c r="C146" s="9">
        <f t="shared" si="17"/>
        <v>49217</v>
      </c>
      <c r="D146" s="6">
        <f>IFERROR((PPMT(المدخلات!$E$55/12,B146,$C$6,المدخلات!$E$54,-المدخلات!$E$65,0))," ")</f>
        <v>-5358.3633302770613</v>
      </c>
      <c r="E146" s="6">
        <f>IFERROR(((IPMT(المدخلات!$E$55/12,B146,$C$6,المدخلات!$E$54,-المدخلات!$E$65,0)))," ")</f>
        <v>-4959.1716718930402</v>
      </c>
      <c r="F146" s="6">
        <f t="shared" si="19"/>
        <v>-523357.27128088614</v>
      </c>
      <c r="G146" s="6">
        <f t="shared" si="18"/>
        <v>-807604.74399905675</v>
      </c>
      <c r="H146" s="6">
        <f t="shared" si="14"/>
        <v>-10317.535002170102</v>
      </c>
      <c r="I146" s="6">
        <f t="shared" si="15"/>
        <v>1076642.7287191139</v>
      </c>
      <c r="J146" s="6" t="str">
        <f>IF(B146&lt;&gt;"",IF(AND(المدخلات!$H$54="سنوي",MOD(B146,12)=0),المدخلات!$J$54,IF(AND(المدخلات!$H$54="القسط (الدفعة) الاول",B146=1),المدخلات!$J$54,IF(المدخلات!$H$54="شهري",المدخلات!$J$54,""))),"")</f>
        <v/>
      </c>
      <c r="K146" s="6" t="str">
        <f>IF(B146&lt;&gt;"",IF(AND(المدخلات!$H$55="سنوي",MOD(B146,12)=0),المدخلات!$J$55,IF(AND(المدخلات!$H$55="القسط (الدفعة) الاول",B146=1),المدخلات!$J$55,IF(المدخلات!$H$55="شهري",المدخلات!$J$55,""))),"")</f>
        <v/>
      </c>
      <c r="L146" s="6">
        <f>IF(B146&lt;&gt;"",IF(AND(المدخلات!$H$56="سنوي",MOD(B146,12)=0),المدخلات!$J$56,IF(AND(المدخلات!$H$56="القسط (الدفعة) الاول",B146=1),المدخلات!$J$56,IF(المدخلات!$H$56="شهري",المدخلات!$J$56,""))),"")</f>
        <v>208.33333333333334</v>
      </c>
      <c r="M146" s="6" t="str">
        <f>IF(B146&lt;&gt;"",IF(AND(المدخلات!$H$57="سنوي",MOD(B146,12)=0),المدخلات!$J$57,IF(AND(المدخلات!$H$57="القسط (الدفعة) الاول",B146=1),المدخلات!$J$57,IF(المدخلات!$H$57="شهري",المدخلات!$J$57,""))),"")</f>
        <v/>
      </c>
      <c r="N146" s="6" t="str">
        <f>IF(B146&lt;&gt;"",IF(AND(المدخلات!$H$58="سنوي",MOD(B146,12)=0),المدخلات!$J$58,IF(AND(المدخلات!$H$58="القسط (الدفعة) الاول",B146=1),المدخلات!$J$58,IF(المدخلات!$H$58="شهري",المدخلات!$J$58,IF(AND(المدخلات!$H$58="End of the loan",B146=المدخلات!$E$58),المدخلات!$J$58,"")))),"")</f>
        <v/>
      </c>
      <c r="O146" s="6">
        <f t="shared" si="20"/>
        <v>208.33333333333334</v>
      </c>
      <c r="P146" s="4">
        <f t="shared" si="21"/>
        <v>10525.868335503435</v>
      </c>
      <c r="T146" s="9">
        <f t="shared" ref="T146:T209" si="22">C146</f>
        <v>49217</v>
      </c>
      <c r="U146" s="5">
        <f t="shared" ref="U146:U209" si="23">IFERROR(ROUND(_xlfn.IFNA(VLOOKUP(T146,$C$18:$P$385,14,0),0),2)," ")</f>
        <v>10525.87</v>
      </c>
    </row>
    <row r="147" spans="2:21" x14ac:dyDescent="0.2">
      <c r="B147" s="16">
        <f t="shared" si="16"/>
        <v>130</v>
      </c>
      <c r="C147" s="9">
        <f t="shared" si="17"/>
        <v>49247</v>
      </c>
      <c r="D147" s="6">
        <f>IFERROR((PPMT(المدخلات!$E$55/12,B147,$C$6,المدخلات!$E$54,-المدخلات!$E$65,0))," ")</f>
        <v>-5382.9224955408308</v>
      </c>
      <c r="E147" s="6">
        <f>IFERROR(((IPMT(المدخلات!$E$55/12,B147,$C$6,المدخلات!$E$54,-المدخلات!$E$65,0)))," ")</f>
        <v>-4934.6125066292707</v>
      </c>
      <c r="F147" s="6">
        <f t="shared" si="19"/>
        <v>-528740.19377642695</v>
      </c>
      <c r="G147" s="6">
        <f t="shared" si="18"/>
        <v>-812539.35650568607</v>
      </c>
      <c r="H147" s="6">
        <f t="shared" ref="H147:H210" si="24">+IF(B147=$C$6,(-$C$13+IFERROR(D147+E147,"")),IFERROR(D147+E147,""))</f>
        <v>-10317.535002170102</v>
      </c>
      <c r="I147" s="6">
        <f t="shared" ref="I147:I210" si="25">+IFERROR($C$8+F147,"")</f>
        <v>1071259.8062235732</v>
      </c>
      <c r="J147" s="6" t="str">
        <f>IF(B147&lt;&gt;"",IF(AND(المدخلات!$H$54="سنوي",MOD(B147,12)=0),المدخلات!$J$54,IF(AND(المدخلات!$H$54="القسط (الدفعة) الاول",B147=1),المدخلات!$J$54,IF(المدخلات!$H$54="شهري",المدخلات!$J$54,""))),"")</f>
        <v/>
      </c>
      <c r="K147" s="6" t="str">
        <f>IF(B147&lt;&gt;"",IF(AND(المدخلات!$H$55="سنوي",MOD(B147,12)=0),المدخلات!$J$55,IF(AND(المدخلات!$H$55="القسط (الدفعة) الاول",B147=1),المدخلات!$J$55,IF(المدخلات!$H$55="شهري",المدخلات!$J$55,""))),"")</f>
        <v/>
      </c>
      <c r="L147" s="6">
        <f>IF(B147&lt;&gt;"",IF(AND(المدخلات!$H$56="سنوي",MOD(B147,12)=0),المدخلات!$J$56,IF(AND(المدخلات!$H$56="القسط (الدفعة) الاول",B147=1),المدخلات!$J$56,IF(المدخلات!$H$56="شهري",المدخلات!$J$56,""))),"")</f>
        <v>208.33333333333334</v>
      </c>
      <c r="M147" s="6" t="str">
        <f>IF(B147&lt;&gt;"",IF(AND(المدخلات!$H$57="سنوي",MOD(B147,12)=0),المدخلات!$J$57,IF(AND(المدخلات!$H$57="القسط (الدفعة) الاول",B147=1),المدخلات!$J$57,IF(المدخلات!$H$57="شهري",المدخلات!$J$57,""))),"")</f>
        <v/>
      </c>
      <c r="N147" s="6" t="str">
        <f>IF(B147&lt;&gt;"",IF(AND(المدخلات!$H$58="سنوي",MOD(B147,12)=0),المدخلات!$J$58,IF(AND(المدخلات!$H$58="القسط (الدفعة) الاول",B147=1),المدخلات!$J$58,IF(المدخلات!$H$58="شهري",المدخلات!$J$58,IF(AND(المدخلات!$H$58="End of the loan",B147=المدخلات!$E$58),المدخلات!$J$58,"")))),"")</f>
        <v/>
      </c>
      <c r="O147" s="6">
        <f t="shared" si="20"/>
        <v>208.33333333333334</v>
      </c>
      <c r="P147" s="4">
        <f t="shared" si="21"/>
        <v>10525.868335503435</v>
      </c>
      <c r="T147" s="9">
        <f t="shared" si="22"/>
        <v>49247</v>
      </c>
      <c r="U147" s="5">
        <f t="shared" si="23"/>
        <v>10525.87</v>
      </c>
    </row>
    <row r="148" spans="2:21" x14ac:dyDescent="0.2">
      <c r="B148" s="16">
        <f t="shared" ref="B148:B211" si="26">IF(B147="","",IF((B147+1)&lt;=$C$6,B147+1,""))</f>
        <v>131</v>
      </c>
      <c r="C148" s="9">
        <f t="shared" ref="C148:C211" si="27">IF(B148="","",EDATE($C$18,(B148-1)))</f>
        <v>49278</v>
      </c>
      <c r="D148" s="6">
        <f>IFERROR((PPMT(المدخلات!$E$55/12,B148,$C$6,المدخلات!$E$54,-المدخلات!$E$65,0))," ")</f>
        <v>-5407.594223645393</v>
      </c>
      <c r="E148" s="6">
        <f>IFERROR(((IPMT(المدخلات!$E$55/12,B148,$C$6,المدخلات!$E$54,-المدخلات!$E$65,0)))," ")</f>
        <v>-4909.9407785247085</v>
      </c>
      <c r="F148" s="6">
        <f t="shared" si="19"/>
        <v>-534147.78800007235</v>
      </c>
      <c r="G148" s="6">
        <f t="shared" ref="G148:G211" si="28">IF(B148&lt;=$C$6,G147+E148,"")</f>
        <v>-817449.2972842108</v>
      </c>
      <c r="H148" s="6">
        <f t="shared" si="24"/>
        <v>-10317.535002170102</v>
      </c>
      <c r="I148" s="6">
        <f t="shared" si="25"/>
        <v>1065852.2119999276</v>
      </c>
      <c r="J148" s="6" t="str">
        <f>IF(B148&lt;&gt;"",IF(AND(المدخلات!$H$54="سنوي",MOD(B148,12)=0),المدخلات!$J$54,IF(AND(المدخلات!$H$54="القسط (الدفعة) الاول",B148=1),المدخلات!$J$54,IF(المدخلات!$H$54="شهري",المدخلات!$J$54,""))),"")</f>
        <v/>
      </c>
      <c r="K148" s="6" t="str">
        <f>IF(B148&lt;&gt;"",IF(AND(المدخلات!$H$55="سنوي",MOD(B148,12)=0),المدخلات!$J$55,IF(AND(المدخلات!$H$55="القسط (الدفعة) الاول",B148=1),المدخلات!$J$55,IF(المدخلات!$H$55="شهري",المدخلات!$J$55,""))),"")</f>
        <v/>
      </c>
      <c r="L148" s="6">
        <f>IF(B148&lt;&gt;"",IF(AND(المدخلات!$H$56="سنوي",MOD(B148,12)=0),المدخلات!$J$56,IF(AND(المدخلات!$H$56="القسط (الدفعة) الاول",B148=1),المدخلات!$J$56,IF(المدخلات!$H$56="شهري",المدخلات!$J$56,""))),"")</f>
        <v>208.33333333333334</v>
      </c>
      <c r="M148" s="6" t="str">
        <f>IF(B148&lt;&gt;"",IF(AND(المدخلات!$H$57="سنوي",MOD(B148,12)=0),المدخلات!$J$57,IF(AND(المدخلات!$H$57="القسط (الدفعة) الاول",B148=1),المدخلات!$J$57,IF(المدخلات!$H$57="شهري",المدخلات!$J$57,""))),"")</f>
        <v/>
      </c>
      <c r="N148" s="6" t="str">
        <f>IF(B148&lt;&gt;"",IF(AND(المدخلات!$H$58="سنوي",MOD(B148,12)=0),المدخلات!$J$58,IF(AND(المدخلات!$H$58="القسط (الدفعة) الاول",B148=1),المدخلات!$J$58,IF(المدخلات!$H$58="شهري",المدخلات!$J$58,IF(AND(المدخلات!$H$58="End of the loan",B148=المدخلات!$E$58),المدخلات!$J$58,"")))),"")</f>
        <v/>
      </c>
      <c r="O148" s="6">
        <f t="shared" si="20"/>
        <v>208.33333333333334</v>
      </c>
      <c r="P148" s="4">
        <f t="shared" si="21"/>
        <v>10525.868335503435</v>
      </c>
      <c r="T148" s="9">
        <f t="shared" si="22"/>
        <v>49278</v>
      </c>
      <c r="U148" s="5">
        <f t="shared" si="23"/>
        <v>10525.87</v>
      </c>
    </row>
    <row r="149" spans="2:21" x14ac:dyDescent="0.2">
      <c r="B149" s="16">
        <f t="shared" si="26"/>
        <v>132</v>
      </c>
      <c r="C149" s="9">
        <f t="shared" si="27"/>
        <v>49308</v>
      </c>
      <c r="D149" s="6">
        <f>IFERROR((PPMT(المدخلات!$E$55/12,B149,$C$6,المدخلات!$E$54,-المدخلات!$E$65,0))," ")</f>
        <v>-5432.3790305037674</v>
      </c>
      <c r="E149" s="6">
        <f>IFERROR(((IPMT(المدخلات!$E$55/12,B149,$C$6,المدخلات!$E$54,-المدخلات!$E$65,0)))," ")</f>
        <v>-4885.1559716663342</v>
      </c>
      <c r="F149" s="6">
        <f t="shared" ref="F149:F212" si="29">IF(B149&lt;=$C$6,F148+D149,"")</f>
        <v>-539580.16703057615</v>
      </c>
      <c r="G149" s="6">
        <f t="shared" si="28"/>
        <v>-822334.45325587713</v>
      </c>
      <c r="H149" s="6">
        <f t="shared" si="24"/>
        <v>-10317.535002170102</v>
      </c>
      <c r="I149" s="6">
        <f t="shared" si="25"/>
        <v>1060419.8329694238</v>
      </c>
      <c r="J149" s="6" t="str">
        <f>IF(B149&lt;&gt;"",IF(AND(المدخلات!$H$54="سنوي",MOD(B149,12)=0),المدخلات!$J$54,IF(AND(المدخلات!$H$54="القسط (الدفعة) الاول",B149=1),المدخلات!$J$54,IF(المدخلات!$H$54="شهري",المدخلات!$J$54,""))),"")</f>
        <v/>
      </c>
      <c r="K149" s="6" t="str">
        <f>IF(B149&lt;&gt;"",IF(AND(المدخلات!$H$55="سنوي",MOD(B149,12)=0),المدخلات!$J$55,IF(AND(المدخلات!$H$55="القسط (الدفعة) الاول",B149=1),المدخلات!$J$55,IF(المدخلات!$H$55="شهري",المدخلات!$J$55,""))),"")</f>
        <v/>
      </c>
      <c r="L149" s="6">
        <f>IF(B149&lt;&gt;"",IF(AND(المدخلات!$H$56="سنوي",MOD(B149,12)=0),المدخلات!$J$56,IF(AND(المدخلات!$H$56="القسط (الدفعة) الاول",B149=1),المدخلات!$J$56,IF(المدخلات!$H$56="شهري",المدخلات!$J$56,""))),"")</f>
        <v>208.33333333333334</v>
      </c>
      <c r="M149" s="6" t="str">
        <f>IF(B149&lt;&gt;"",IF(AND(المدخلات!$H$57="سنوي",MOD(B149,12)=0),المدخلات!$J$57,IF(AND(المدخلات!$H$57="القسط (الدفعة) الاول",B149=1),المدخلات!$J$57,IF(المدخلات!$H$57="شهري",المدخلات!$J$57,""))),"")</f>
        <v/>
      </c>
      <c r="N149" s="6">
        <f>IF(B149&lt;&gt;"",IF(AND(المدخلات!$H$58="سنوي",MOD(B149,12)=0),المدخلات!$J$58,IF(AND(المدخلات!$H$58="القسط (الدفعة) الاول",B149=1),المدخلات!$J$58,IF(المدخلات!$H$58="شهري",المدخلات!$J$58,IF(AND(المدخلات!$H$58="End of the loan",B149=المدخلات!$E$58),المدخلات!$J$58,"")))),"")</f>
        <v>0</v>
      </c>
      <c r="O149" s="6">
        <f t="shared" si="20"/>
        <v>208.33333333333334</v>
      </c>
      <c r="P149" s="4">
        <f t="shared" si="21"/>
        <v>10525.868335503435</v>
      </c>
      <c r="T149" s="9">
        <f t="shared" si="22"/>
        <v>49308</v>
      </c>
      <c r="U149" s="5">
        <f t="shared" si="23"/>
        <v>10525.87</v>
      </c>
    </row>
    <row r="150" spans="2:21" x14ac:dyDescent="0.2">
      <c r="B150" s="16">
        <f t="shared" si="26"/>
        <v>133</v>
      </c>
      <c r="C150" s="9">
        <f t="shared" si="27"/>
        <v>49339</v>
      </c>
      <c r="D150" s="6">
        <f>IFERROR((PPMT(المدخلات!$E$55/12,B150,$C$6,المدخلات!$E$54,-المدخلات!$E$65,0))," ")</f>
        <v>-5457.2774343935753</v>
      </c>
      <c r="E150" s="6">
        <f>IFERROR(((IPMT(المدخلات!$E$55/12,B150,$C$6,المدخلات!$E$54,-المدخلات!$E$65,0)))," ")</f>
        <v>-4860.2575677765253</v>
      </c>
      <c r="F150" s="6">
        <f t="shared" si="29"/>
        <v>-545037.44446496968</v>
      </c>
      <c r="G150" s="6">
        <f t="shared" si="28"/>
        <v>-827194.71082365362</v>
      </c>
      <c r="H150" s="6">
        <f t="shared" si="24"/>
        <v>-10317.535002170102</v>
      </c>
      <c r="I150" s="6">
        <f t="shared" si="25"/>
        <v>1054962.5555350303</v>
      </c>
      <c r="J150" s="6" t="str">
        <f>IF(B150&lt;&gt;"",IF(AND(المدخلات!$H$54="سنوي",MOD(B150,12)=0),المدخلات!$J$54,IF(AND(المدخلات!$H$54="القسط (الدفعة) الاول",B150=1),المدخلات!$J$54,IF(المدخلات!$H$54="شهري",المدخلات!$J$54,""))),"")</f>
        <v/>
      </c>
      <c r="K150" s="6" t="str">
        <f>IF(B150&lt;&gt;"",IF(AND(المدخلات!$H$55="سنوي",MOD(B150,12)=0),المدخلات!$J$55,IF(AND(المدخلات!$H$55="القسط (الدفعة) الاول",B150=1),المدخلات!$J$55,IF(المدخلات!$H$55="شهري",المدخلات!$J$55,""))),"")</f>
        <v/>
      </c>
      <c r="L150" s="6">
        <f>IF(B150&lt;&gt;"",IF(AND(المدخلات!$H$56="سنوي",MOD(B150,12)=0),المدخلات!$J$56,IF(AND(المدخلات!$H$56="القسط (الدفعة) الاول",B150=1),المدخلات!$J$56,IF(المدخلات!$H$56="شهري",المدخلات!$J$56,""))),"")</f>
        <v>208.33333333333334</v>
      </c>
      <c r="M150" s="6" t="str">
        <f>IF(B150&lt;&gt;"",IF(AND(المدخلات!$H$57="سنوي",MOD(B150,12)=0),المدخلات!$J$57,IF(AND(المدخلات!$H$57="القسط (الدفعة) الاول",B150=1),المدخلات!$J$57,IF(المدخلات!$H$57="شهري",المدخلات!$J$57,""))),"")</f>
        <v/>
      </c>
      <c r="N150" s="6" t="str">
        <f>IF(B150&lt;&gt;"",IF(AND(المدخلات!$H$58="سنوي",MOD(B150,12)=0),المدخلات!$J$58,IF(AND(المدخلات!$H$58="القسط (الدفعة) الاول",B150=1),المدخلات!$J$58,IF(المدخلات!$H$58="شهري",المدخلات!$J$58,IF(AND(المدخلات!$H$58="End of the loan",B150=المدخلات!$E$58),المدخلات!$J$58,"")))),"")</f>
        <v/>
      </c>
      <c r="O150" s="6">
        <f t="shared" si="20"/>
        <v>208.33333333333334</v>
      </c>
      <c r="P150" s="4">
        <f t="shared" si="21"/>
        <v>10525.868335503435</v>
      </c>
      <c r="T150" s="9">
        <f t="shared" si="22"/>
        <v>49339</v>
      </c>
      <c r="U150" s="5">
        <f t="shared" si="23"/>
        <v>10525.87</v>
      </c>
    </row>
    <row r="151" spans="2:21" x14ac:dyDescent="0.2">
      <c r="B151" s="16">
        <f t="shared" si="26"/>
        <v>134</v>
      </c>
      <c r="C151" s="9">
        <f t="shared" si="27"/>
        <v>49368</v>
      </c>
      <c r="D151" s="6">
        <f>IFERROR((PPMT(المدخلات!$E$55/12,B151,$C$6,المدخلات!$E$54,-المدخلات!$E$65,0))," ")</f>
        <v>-5482.2899559678799</v>
      </c>
      <c r="E151" s="6">
        <f>IFERROR(((IPMT(المدخلات!$E$55/12,B151,$C$6,المدخلات!$E$54,-المدخلات!$E$65,0)))," ")</f>
        <v>-4835.2450462022216</v>
      </c>
      <c r="F151" s="6">
        <f t="shared" si="29"/>
        <v>-550519.7344209376</v>
      </c>
      <c r="G151" s="6">
        <f t="shared" si="28"/>
        <v>-832029.95586985582</v>
      </c>
      <c r="H151" s="6">
        <f t="shared" si="24"/>
        <v>-10317.535002170102</v>
      </c>
      <c r="I151" s="6">
        <f t="shared" si="25"/>
        <v>1049480.2655790625</v>
      </c>
      <c r="J151" s="6" t="str">
        <f>IF(B151&lt;&gt;"",IF(AND(المدخلات!$H$54="سنوي",MOD(B151,12)=0),المدخلات!$J$54,IF(AND(المدخلات!$H$54="القسط (الدفعة) الاول",B151=1),المدخلات!$J$54,IF(المدخلات!$H$54="شهري",المدخلات!$J$54,""))),"")</f>
        <v/>
      </c>
      <c r="K151" s="6" t="str">
        <f>IF(B151&lt;&gt;"",IF(AND(المدخلات!$H$55="سنوي",MOD(B151,12)=0),المدخلات!$J$55,IF(AND(المدخلات!$H$55="القسط (الدفعة) الاول",B151=1),المدخلات!$J$55,IF(المدخلات!$H$55="شهري",المدخلات!$J$55,""))),"")</f>
        <v/>
      </c>
      <c r="L151" s="6">
        <f>IF(B151&lt;&gt;"",IF(AND(المدخلات!$H$56="سنوي",MOD(B151,12)=0),المدخلات!$J$56,IF(AND(المدخلات!$H$56="القسط (الدفعة) الاول",B151=1),المدخلات!$J$56,IF(المدخلات!$H$56="شهري",المدخلات!$J$56,""))),"")</f>
        <v>208.33333333333334</v>
      </c>
      <c r="M151" s="6" t="str">
        <f>IF(B151&lt;&gt;"",IF(AND(المدخلات!$H$57="سنوي",MOD(B151,12)=0),المدخلات!$J$57,IF(AND(المدخلات!$H$57="القسط (الدفعة) الاول",B151=1),المدخلات!$J$57,IF(المدخلات!$H$57="شهري",المدخلات!$J$57,""))),"")</f>
        <v/>
      </c>
      <c r="N151" s="6" t="str">
        <f>IF(B151&lt;&gt;"",IF(AND(المدخلات!$H$58="سنوي",MOD(B151,12)=0),المدخلات!$J$58,IF(AND(المدخلات!$H$58="القسط (الدفعة) الاول",B151=1),المدخلات!$J$58,IF(المدخلات!$H$58="شهري",المدخلات!$J$58,IF(AND(المدخلات!$H$58="End of the loan",B151=المدخلات!$E$58),المدخلات!$J$58,"")))),"")</f>
        <v/>
      </c>
      <c r="O151" s="6">
        <f t="shared" si="20"/>
        <v>208.33333333333334</v>
      </c>
      <c r="P151" s="4">
        <f t="shared" si="21"/>
        <v>10525.868335503435</v>
      </c>
      <c r="T151" s="9">
        <f t="shared" si="22"/>
        <v>49368</v>
      </c>
      <c r="U151" s="5">
        <f t="shared" si="23"/>
        <v>10525.87</v>
      </c>
    </row>
    <row r="152" spans="2:21" x14ac:dyDescent="0.2">
      <c r="B152" s="16">
        <f t="shared" si="26"/>
        <v>135</v>
      </c>
      <c r="C152" s="9">
        <f t="shared" si="27"/>
        <v>49398</v>
      </c>
      <c r="D152" s="6">
        <f>IFERROR((PPMT(المدخلات!$E$55/12,B152,$C$6,المدخلات!$E$54,-المدخلات!$E$65,0))," ")</f>
        <v>-5507.4171182660657</v>
      </c>
      <c r="E152" s="6">
        <f>IFERROR(((IPMT(المدخلات!$E$55/12,B152,$C$6,المدخلات!$E$54,-المدخلات!$E$65,0)))," ")</f>
        <v>-4810.117883904034</v>
      </c>
      <c r="F152" s="6">
        <f t="shared" si="29"/>
        <v>-556027.15153920371</v>
      </c>
      <c r="G152" s="6">
        <f t="shared" si="28"/>
        <v>-836840.07375375985</v>
      </c>
      <c r="H152" s="6">
        <f t="shared" si="24"/>
        <v>-10317.5350021701</v>
      </c>
      <c r="I152" s="6">
        <f t="shared" si="25"/>
        <v>1043972.8484607963</v>
      </c>
      <c r="J152" s="6" t="str">
        <f>IF(B152&lt;&gt;"",IF(AND(المدخلات!$H$54="سنوي",MOD(B152,12)=0),المدخلات!$J$54,IF(AND(المدخلات!$H$54="القسط (الدفعة) الاول",B152=1),المدخلات!$J$54,IF(المدخلات!$H$54="شهري",المدخلات!$J$54,""))),"")</f>
        <v/>
      </c>
      <c r="K152" s="6" t="str">
        <f>IF(B152&lt;&gt;"",IF(AND(المدخلات!$H$55="سنوي",MOD(B152,12)=0),المدخلات!$J$55,IF(AND(المدخلات!$H$55="القسط (الدفعة) الاول",B152=1),المدخلات!$J$55,IF(المدخلات!$H$55="شهري",المدخلات!$J$55,""))),"")</f>
        <v/>
      </c>
      <c r="L152" s="6">
        <f>IF(B152&lt;&gt;"",IF(AND(المدخلات!$H$56="سنوي",MOD(B152,12)=0),المدخلات!$J$56,IF(AND(المدخلات!$H$56="القسط (الدفعة) الاول",B152=1),المدخلات!$J$56,IF(المدخلات!$H$56="شهري",المدخلات!$J$56,""))),"")</f>
        <v>208.33333333333334</v>
      </c>
      <c r="M152" s="6" t="str">
        <f>IF(B152&lt;&gt;"",IF(AND(المدخلات!$H$57="سنوي",MOD(B152,12)=0),المدخلات!$J$57,IF(AND(المدخلات!$H$57="القسط (الدفعة) الاول",B152=1),المدخلات!$J$57,IF(المدخلات!$H$57="شهري",المدخلات!$J$57,""))),"")</f>
        <v/>
      </c>
      <c r="N152" s="6" t="str">
        <f>IF(B152&lt;&gt;"",IF(AND(المدخلات!$H$58="سنوي",MOD(B152,12)=0),المدخلات!$J$58,IF(AND(المدخلات!$H$58="القسط (الدفعة) الاول",B152=1),المدخلات!$J$58,IF(المدخلات!$H$58="شهري",المدخلات!$J$58,IF(AND(المدخلات!$H$58="End of the loan",B152=المدخلات!$E$58),المدخلات!$J$58,"")))),"")</f>
        <v/>
      </c>
      <c r="O152" s="6">
        <f t="shared" si="20"/>
        <v>208.33333333333334</v>
      </c>
      <c r="P152" s="4">
        <f t="shared" si="21"/>
        <v>10525.868335503434</v>
      </c>
      <c r="T152" s="9">
        <f t="shared" si="22"/>
        <v>49398</v>
      </c>
      <c r="U152" s="5">
        <f t="shared" si="23"/>
        <v>10525.87</v>
      </c>
    </row>
    <row r="153" spans="2:21" x14ac:dyDescent="0.2">
      <c r="B153" s="16">
        <f t="shared" si="26"/>
        <v>136</v>
      </c>
      <c r="C153" s="9">
        <f t="shared" si="27"/>
        <v>49429</v>
      </c>
      <c r="D153" s="6">
        <f>IFERROR((PPMT(المدخلات!$E$55/12,B153,$C$6,المدخلات!$E$54,-المدخلات!$E$65,0))," ")</f>
        <v>-5532.6594467247851</v>
      </c>
      <c r="E153" s="6">
        <f>IFERROR(((IPMT(المدخلات!$E$55/12,B153,$C$6,المدخلات!$E$54,-المدخلات!$E$65,0)))," ")</f>
        <v>-4784.8755554453155</v>
      </c>
      <c r="F153" s="6">
        <f t="shared" si="29"/>
        <v>-561559.81098592852</v>
      </c>
      <c r="G153" s="6">
        <f t="shared" si="28"/>
        <v>-841624.94930920517</v>
      </c>
      <c r="H153" s="6">
        <f t="shared" si="24"/>
        <v>-10317.535002170102</v>
      </c>
      <c r="I153" s="6">
        <f t="shared" si="25"/>
        <v>1038440.1890140715</v>
      </c>
      <c r="J153" s="6" t="str">
        <f>IF(B153&lt;&gt;"",IF(AND(المدخلات!$H$54="سنوي",MOD(B153,12)=0),المدخلات!$J$54,IF(AND(المدخلات!$H$54="القسط (الدفعة) الاول",B153=1),المدخلات!$J$54,IF(المدخلات!$H$54="شهري",المدخلات!$J$54,""))),"")</f>
        <v/>
      </c>
      <c r="K153" s="6" t="str">
        <f>IF(B153&lt;&gt;"",IF(AND(المدخلات!$H$55="سنوي",MOD(B153,12)=0),المدخلات!$J$55,IF(AND(المدخلات!$H$55="القسط (الدفعة) الاول",B153=1),المدخلات!$J$55,IF(المدخلات!$H$55="شهري",المدخلات!$J$55,""))),"")</f>
        <v/>
      </c>
      <c r="L153" s="6">
        <f>IF(B153&lt;&gt;"",IF(AND(المدخلات!$H$56="سنوي",MOD(B153,12)=0),المدخلات!$J$56,IF(AND(المدخلات!$H$56="القسط (الدفعة) الاول",B153=1),المدخلات!$J$56,IF(المدخلات!$H$56="شهري",المدخلات!$J$56,""))),"")</f>
        <v>208.33333333333334</v>
      </c>
      <c r="M153" s="6" t="str">
        <f>IF(B153&lt;&gt;"",IF(AND(المدخلات!$H$57="سنوي",MOD(B153,12)=0),المدخلات!$J$57,IF(AND(المدخلات!$H$57="القسط (الدفعة) الاول",B153=1),المدخلات!$J$57,IF(المدخلات!$H$57="شهري",المدخلات!$J$57,""))),"")</f>
        <v/>
      </c>
      <c r="N153" s="6" t="str">
        <f>IF(B153&lt;&gt;"",IF(AND(المدخلات!$H$58="سنوي",MOD(B153,12)=0),المدخلات!$J$58,IF(AND(المدخلات!$H$58="القسط (الدفعة) الاول",B153=1),المدخلات!$J$58,IF(المدخلات!$H$58="شهري",المدخلات!$J$58,IF(AND(المدخلات!$H$58="End of the loan",B153=المدخلات!$E$58),المدخلات!$J$58,"")))),"")</f>
        <v/>
      </c>
      <c r="O153" s="6">
        <f t="shared" si="20"/>
        <v>208.33333333333334</v>
      </c>
      <c r="P153" s="4">
        <f t="shared" si="21"/>
        <v>10525.868335503435</v>
      </c>
      <c r="T153" s="9">
        <f t="shared" si="22"/>
        <v>49429</v>
      </c>
      <c r="U153" s="5">
        <f t="shared" si="23"/>
        <v>10525.87</v>
      </c>
    </row>
    <row r="154" spans="2:21" x14ac:dyDescent="0.2">
      <c r="B154" s="16">
        <f t="shared" si="26"/>
        <v>137</v>
      </c>
      <c r="C154" s="9">
        <f t="shared" si="27"/>
        <v>49459</v>
      </c>
      <c r="D154" s="6">
        <f>IFERROR((PPMT(المدخلات!$E$55/12,B154,$C$6,المدخلات!$E$54,-المدخلات!$E$65,0))," ")</f>
        <v>-5558.0174691889406</v>
      </c>
      <c r="E154" s="6">
        <f>IFERROR(((IPMT(المدخلات!$E$55/12,B154,$C$6,المدخلات!$E$54,-المدخلات!$E$65,0)))," ")</f>
        <v>-4759.51753298116</v>
      </c>
      <c r="F154" s="6">
        <f t="shared" si="29"/>
        <v>-567117.82845511741</v>
      </c>
      <c r="G154" s="6">
        <f t="shared" si="28"/>
        <v>-846384.46684218629</v>
      </c>
      <c r="H154" s="6">
        <f t="shared" si="24"/>
        <v>-10317.535002170102</v>
      </c>
      <c r="I154" s="6">
        <f t="shared" si="25"/>
        <v>1032882.1715448826</v>
      </c>
      <c r="J154" s="6" t="str">
        <f>IF(B154&lt;&gt;"",IF(AND(المدخلات!$H$54="سنوي",MOD(B154,12)=0),المدخلات!$J$54,IF(AND(المدخلات!$H$54="القسط (الدفعة) الاول",B154=1),المدخلات!$J$54,IF(المدخلات!$H$54="شهري",المدخلات!$J$54,""))),"")</f>
        <v/>
      </c>
      <c r="K154" s="6" t="str">
        <f>IF(B154&lt;&gt;"",IF(AND(المدخلات!$H$55="سنوي",MOD(B154,12)=0),المدخلات!$J$55,IF(AND(المدخلات!$H$55="القسط (الدفعة) الاول",B154=1),المدخلات!$J$55,IF(المدخلات!$H$55="شهري",المدخلات!$J$55,""))),"")</f>
        <v/>
      </c>
      <c r="L154" s="6">
        <f>IF(B154&lt;&gt;"",IF(AND(المدخلات!$H$56="سنوي",MOD(B154,12)=0),المدخلات!$J$56,IF(AND(المدخلات!$H$56="القسط (الدفعة) الاول",B154=1),المدخلات!$J$56,IF(المدخلات!$H$56="شهري",المدخلات!$J$56,""))),"")</f>
        <v>208.33333333333334</v>
      </c>
      <c r="M154" s="6" t="str">
        <f>IF(B154&lt;&gt;"",IF(AND(المدخلات!$H$57="سنوي",MOD(B154,12)=0),المدخلات!$J$57,IF(AND(المدخلات!$H$57="القسط (الدفعة) الاول",B154=1),المدخلات!$J$57,IF(المدخلات!$H$57="شهري",المدخلات!$J$57,""))),"")</f>
        <v/>
      </c>
      <c r="N154" s="6" t="str">
        <f>IF(B154&lt;&gt;"",IF(AND(المدخلات!$H$58="سنوي",MOD(B154,12)=0),المدخلات!$J$58,IF(AND(المدخلات!$H$58="القسط (الدفعة) الاول",B154=1),المدخلات!$J$58,IF(المدخلات!$H$58="شهري",المدخلات!$J$58,IF(AND(المدخلات!$H$58="End of the loan",B154=المدخلات!$E$58),المدخلات!$J$58,"")))),"")</f>
        <v/>
      </c>
      <c r="O154" s="6">
        <f t="shared" si="20"/>
        <v>208.33333333333334</v>
      </c>
      <c r="P154" s="4">
        <f t="shared" si="21"/>
        <v>10525.868335503435</v>
      </c>
      <c r="T154" s="9">
        <f t="shared" si="22"/>
        <v>49459</v>
      </c>
      <c r="U154" s="5">
        <f t="shared" si="23"/>
        <v>10525.87</v>
      </c>
    </row>
    <row r="155" spans="2:21" x14ac:dyDescent="0.2">
      <c r="B155" s="16">
        <f t="shared" si="26"/>
        <v>138</v>
      </c>
      <c r="C155" s="9">
        <f t="shared" si="27"/>
        <v>49490</v>
      </c>
      <c r="D155" s="6">
        <f>IFERROR((PPMT(المدخلات!$E$55/12,B155,$C$6,المدخلات!$E$54,-المدخلات!$E$65,0))," ")</f>
        <v>-5583.4917159227234</v>
      </c>
      <c r="E155" s="6">
        <f>IFERROR(((IPMT(المدخلات!$E$55/12,B155,$C$6,المدخلات!$E$54,-المدخلات!$E$65,0)))," ")</f>
        <v>-4734.0432862473772</v>
      </c>
      <c r="F155" s="6">
        <f t="shared" si="29"/>
        <v>-572701.32017104013</v>
      </c>
      <c r="G155" s="6">
        <f t="shared" si="28"/>
        <v>-851118.5101284337</v>
      </c>
      <c r="H155" s="6">
        <f t="shared" si="24"/>
        <v>-10317.535002170102</v>
      </c>
      <c r="I155" s="6">
        <f t="shared" si="25"/>
        <v>1027298.6798289599</v>
      </c>
      <c r="J155" s="6" t="str">
        <f>IF(B155&lt;&gt;"",IF(AND(المدخلات!$H$54="سنوي",MOD(B155,12)=0),المدخلات!$J$54,IF(AND(المدخلات!$H$54="القسط (الدفعة) الاول",B155=1),المدخلات!$J$54,IF(المدخلات!$H$54="شهري",المدخلات!$J$54,""))),"")</f>
        <v/>
      </c>
      <c r="K155" s="6" t="str">
        <f>IF(B155&lt;&gt;"",IF(AND(المدخلات!$H$55="سنوي",MOD(B155,12)=0),المدخلات!$J$55,IF(AND(المدخلات!$H$55="القسط (الدفعة) الاول",B155=1),المدخلات!$J$55,IF(المدخلات!$H$55="شهري",المدخلات!$J$55,""))),"")</f>
        <v/>
      </c>
      <c r="L155" s="6">
        <f>IF(B155&lt;&gt;"",IF(AND(المدخلات!$H$56="سنوي",MOD(B155,12)=0),المدخلات!$J$56,IF(AND(المدخلات!$H$56="القسط (الدفعة) الاول",B155=1),المدخلات!$J$56,IF(المدخلات!$H$56="شهري",المدخلات!$J$56,""))),"")</f>
        <v>208.33333333333334</v>
      </c>
      <c r="M155" s="6" t="str">
        <f>IF(B155&lt;&gt;"",IF(AND(المدخلات!$H$57="سنوي",MOD(B155,12)=0),المدخلات!$J$57,IF(AND(المدخلات!$H$57="القسط (الدفعة) الاول",B155=1),المدخلات!$J$57,IF(المدخلات!$H$57="شهري",المدخلات!$J$57,""))),"")</f>
        <v/>
      </c>
      <c r="N155" s="6" t="str">
        <f>IF(B155&lt;&gt;"",IF(AND(المدخلات!$H$58="سنوي",MOD(B155,12)=0),المدخلات!$J$58,IF(AND(المدخلات!$H$58="القسط (الدفعة) الاول",B155=1),المدخلات!$J$58,IF(المدخلات!$H$58="شهري",المدخلات!$J$58,IF(AND(المدخلات!$H$58="End of the loan",B155=المدخلات!$E$58),المدخلات!$J$58,"")))),"")</f>
        <v/>
      </c>
      <c r="O155" s="6">
        <f t="shared" si="20"/>
        <v>208.33333333333334</v>
      </c>
      <c r="P155" s="4">
        <f t="shared" si="21"/>
        <v>10525.868335503435</v>
      </c>
      <c r="T155" s="9">
        <f t="shared" si="22"/>
        <v>49490</v>
      </c>
      <c r="U155" s="5">
        <f t="shared" si="23"/>
        <v>10525.87</v>
      </c>
    </row>
    <row r="156" spans="2:21" x14ac:dyDescent="0.2">
      <c r="B156" s="16">
        <f t="shared" si="26"/>
        <v>139</v>
      </c>
      <c r="C156" s="9">
        <f t="shared" si="27"/>
        <v>49520</v>
      </c>
      <c r="D156" s="6">
        <f>IFERROR((PPMT(المدخلات!$E$55/12,B156,$C$6,المدخلات!$E$54,-المدخلات!$E$65,0))," ")</f>
        <v>-5609.0827196207028</v>
      </c>
      <c r="E156" s="6">
        <f>IFERROR(((IPMT(المدخلات!$E$55/12,B156,$C$6,المدخلات!$E$54,-المدخلات!$E$65,0)))," ")</f>
        <v>-4708.4522825493987</v>
      </c>
      <c r="F156" s="6">
        <f t="shared" si="29"/>
        <v>-578310.4028906608</v>
      </c>
      <c r="G156" s="6">
        <f t="shared" si="28"/>
        <v>-855826.96241098305</v>
      </c>
      <c r="H156" s="6">
        <f t="shared" si="24"/>
        <v>-10317.535002170102</v>
      </c>
      <c r="I156" s="6">
        <f t="shared" si="25"/>
        <v>1021689.5971093392</v>
      </c>
      <c r="J156" s="6" t="str">
        <f>IF(B156&lt;&gt;"",IF(AND(المدخلات!$H$54="سنوي",MOD(B156,12)=0),المدخلات!$J$54,IF(AND(المدخلات!$H$54="القسط (الدفعة) الاول",B156=1),المدخلات!$J$54,IF(المدخلات!$H$54="شهري",المدخلات!$J$54,""))),"")</f>
        <v/>
      </c>
      <c r="K156" s="6" t="str">
        <f>IF(B156&lt;&gt;"",IF(AND(المدخلات!$H$55="سنوي",MOD(B156,12)=0),المدخلات!$J$55,IF(AND(المدخلات!$H$55="القسط (الدفعة) الاول",B156=1),المدخلات!$J$55,IF(المدخلات!$H$55="شهري",المدخلات!$J$55,""))),"")</f>
        <v/>
      </c>
      <c r="L156" s="6">
        <f>IF(B156&lt;&gt;"",IF(AND(المدخلات!$H$56="سنوي",MOD(B156,12)=0),المدخلات!$J$56,IF(AND(المدخلات!$H$56="القسط (الدفعة) الاول",B156=1),المدخلات!$J$56,IF(المدخلات!$H$56="شهري",المدخلات!$J$56,""))),"")</f>
        <v>208.33333333333334</v>
      </c>
      <c r="M156" s="6" t="str">
        <f>IF(B156&lt;&gt;"",IF(AND(المدخلات!$H$57="سنوي",MOD(B156,12)=0),المدخلات!$J$57,IF(AND(المدخلات!$H$57="القسط (الدفعة) الاول",B156=1),المدخلات!$J$57,IF(المدخلات!$H$57="شهري",المدخلات!$J$57,""))),"")</f>
        <v/>
      </c>
      <c r="N156" s="6" t="str">
        <f>IF(B156&lt;&gt;"",IF(AND(المدخلات!$H$58="سنوي",MOD(B156,12)=0),المدخلات!$J$58,IF(AND(المدخلات!$H$58="القسط (الدفعة) الاول",B156=1),المدخلات!$J$58,IF(المدخلات!$H$58="شهري",المدخلات!$J$58,IF(AND(المدخلات!$H$58="End of the loan",B156=المدخلات!$E$58),المدخلات!$J$58,"")))),"")</f>
        <v/>
      </c>
      <c r="O156" s="6">
        <f t="shared" si="20"/>
        <v>208.33333333333334</v>
      </c>
      <c r="P156" s="4">
        <f t="shared" si="21"/>
        <v>10525.868335503435</v>
      </c>
      <c r="T156" s="9">
        <f t="shared" si="22"/>
        <v>49520</v>
      </c>
      <c r="U156" s="5">
        <f t="shared" si="23"/>
        <v>10525.87</v>
      </c>
    </row>
    <row r="157" spans="2:21" x14ac:dyDescent="0.2">
      <c r="B157" s="16">
        <f t="shared" si="26"/>
        <v>140</v>
      </c>
      <c r="C157" s="9">
        <f t="shared" si="27"/>
        <v>49551</v>
      </c>
      <c r="D157" s="6">
        <f>IFERROR((PPMT(المدخلات!$E$55/12,B157,$C$6,المدخلات!$E$54,-المدخلات!$E$65,0))," ")</f>
        <v>-5634.7910154189649</v>
      </c>
      <c r="E157" s="6">
        <f>IFERROR(((IPMT(المدخلات!$E$55/12,B157,$C$6,المدخلات!$E$54,-المدخلات!$E$65,0)))," ")</f>
        <v>-4682.7439867511366</v>
      </c>
      <c r="F157" s="6">
        <f t="shared" si="29"/>
        <v>-583945.19390607974</v>
      </c>
      <c r="G157" s="6">
        <f t="shared" si="28"/>
        <v>-860509.70639773423</v>
      </c>
      <c r="H157" s="6">
        <f t="shared" si="24"/>
        <v>-10317.535002170102</v>
      </c>
      <c r="I157" s="6">
        <f t="shared" si="25"/>
        <v>1016054.8060939203</v>
      </c>
      <c r="J157" s="6" t="str">
        <f>IF(B157&lt;&gt;"",IF(AND(المدخلات!$H$54="سنوي",MOD(B157,12)=0),المدخلات!$J$54,IF(AND(المدخلات!$H$54="القسط (الدفعة) الاول",B157=1),المدخلات!$J$54,IF(المدخلات!$H$54="شهري",المدخلات!$J$54,""))),"")</f>
        <v/>
      </c>
      <c r="K157" s="6" t="str">
        <f>IF(B157&lt;&gt;"",IF(AND(المدخلات!$H$55="سنوي",MOD(B157,12)=0),المدخلات!$J$55,IF(AND(المدخلات!$H$55="القسط (الدفعة) الاول",B157=1),المدخلات!$J$55,IF(المدخلات!$H$55="شهري",المدخلات!$J$55,""))),"")</f>
        <v/>
      </c>
      <c r="L157" s="6">
        <f>IF(B157&lt;&gt;"",IF(AND(المدخلات!$H$56="سنوي",MOD(B157,12)=0),المدخلات!$J$56,IF(AND(المدخلات!$H$56="القسط (الدفعة) الاول",B157=1),المدخلات!$J$56,IF(المدخلات!$H$56="شهري",المدخلات!$J$56,""))),"")</f>
        <v>208.33333333333334</v>
      </c>
      <c r="M157" s="6" t="str">
        <f>IF(B157&lt;&gt;"",IF(AND(المدخلات!$H$57="سنوي",MOD(B157,12)=0),المدخلات!$J$57,IF(AND(المدخلات!$H$57="القسط (الدفعة) الاول",B157=1),المدخلات!$J$57,IF(المدخلات!$H$57="شهري",المدخلات!$J$57,""))),"")</f>
        <v/>
      </c>
      <c r="N157" s="6" t="str">
        <f>IF(B157&lt;&gt;"",IF(AND(المدخلات!$H$58="سنوي",MOD(B157,12)=0),المدخلات!$J$58,IF(AND(المدخلات!$H$58="القسط (الدفعة) الاول",B157=1),المدخلات!$J$58,IF(المدخلات!$H$58="شهري",المدخلات!$J$58,IF(AND(المدخلات!$H$58="End of the loan",B157=المدخلات!$E$58),المدخلات!$J$58,"")))),"")</f>
        <v/>
      </c>
      <c r="O157" s="6">
        <f t="shared" si="20"/>
        <v>208.33333333333334</v>
      </c>
      <c r="P157" s="4">
        <f t="shared" si="21"/>
        <v>10525.868335503435</v>
      </c>
      <c r="T157" s="9">
        <f t="shared" si="22"/>
        <v>49551</v>
      </c>
      <c r="U157" s="5">
        <f t="shared" si="23"/>
        <v>10525.87</v>
      </c>
    </row>
    <row r="158" spans="2:21" x14ac:dyDescent="0.2">
      <c r="B158" s="16">
        <f t="shared" si="26"/>
        <v>141</v>
      </c>
      <c r="C158" s="9">
        <f t="shared" si="27"/>
        <v>49582</v>
      </c>
      <c r="D158" s="6">
        <f>IFERROR((PPMT(المدخلات!$E$55/12,B158,$C$6,المدخلات!$E$54,-المدخلات!$E$65,0))," ")</f>
        <v>-5660.6171409063018</v>
      </c>
      <c r="E158" s="6">
        <f>IFERROR(((IPMT(المدخلات!$E$55/12,B158,$C$6,المدخلات!$E$54,-المدخلات!$E$65,0)))," ")</f>
        <v>-4656.9178612637998</v>
      </c>
      <c r="F158" s="6">
        <f t="shared" si="29"/>
        <v>-589605.81104698603</v>
      </c>
      <c r="G158" s="6">
        <f t="shared" si="28"/>
        <v>-865166.62425899808</v>
      </c>
      <c r="H158" s="6">
        <f t="shared" si="24"/>
        <v>-10317.535002170102</v>
      </c>
      <c r="I158" s="6">
        <f t="shared" si="25"/>
        <v>1010394.188953014</v>
      </c>
      <c r="J158" s="6" t="str">
        <f>IF(B158&lt;&gt;"",IF(AND(المدخلات!$H$54="سنوي",MOD(B158,12)=0),المدخلات!$J$54,IF(AND(المدخلات!$H$54="القسط (الدفعة) الاول",B158=1),المدخلات!$J$54,IF(المدخلات!$H$54="شهري",المدخلات!$J$54,""))),"")</f>
        <v/>
      </c>
      <c r="K158" s="6" t="str">
        <f>IF(B158&lt;&gt;"",IF(AND(المدخلات!$H$55="سنوي",MOD(B158,12)=0),المدخلات!$J$55,IF(AND(المدخلات!$H$55="القسط (الدفعة) الاول",B158=1),المدخلات!$J$55,IF(المدخلات!$H$55="شهري",المدخلات!$J$55,""))),"")</f>
        <v/>
      </c>
      <c r="L158" s="6">
        <f>IF(B158&lt;&gt;"",IF(AND(المدخلات!$H$56="سنوي",MOD(B158,12)=0),المدخلات!$J$56,IF(AND(المدخلات!$H$56="القسط (الدفعة) الاول",B158=1),المدخلات!$J$56,IF(المدخلات!$H$56="شهري",المدخلات!$J$56,""))),"")</f>
        <v>208.33333333333334</v>
      </c>
      <c r="M158" s="6" t="str">
        <f>IF(B158&lt;&gt;"",IF(AND(المدخلات!$H$57="سنوي",MOD(B158,12)=0),المدخلات!$J$57,IF(AND(المدخلات!$H$57="القسط (الدفعة) الاول",B158=1),المدخلات!$J$57,IF(المدخلات!$H$57="شهري",المدخلات!$J$57,""))),"")</f>
        <v/>
      </c>
      <c r="N158" s="6" t="str">
        <f>IF(B158&lt;&gt;"",IF(AND(المدخلات!$H$58="سنوي",MOD(B158,12)=0),المدخلات!$J$58,IF(AND(المدخلات!$H$58="القسط (الدفعة) الاول",B158=1),المدخلات!$J$58,IF(المدخلات!$H$58="شهري",المدخلات!$J$58,IF(AND(المدخلات!$H$58="End of the loan",B158=المدخلات!$E$58),المدخلات!$J$58,"")))),"")</f>
        <v/>
      </c>
      <c r="O158" s="6">
        <f t="shared" si="20"/>
        <v>208.33333333333334</v>
      </c>
      <c r="P158" s="4">
        <f t="shared" si="21"/>
        <v>10525.868335503435</v>
      </c>
      <c r="T158" s="9">
        <f t="shared" si="22"/>
        <v>49582</v>
      </c>
      <c r="U158" s="5">
        <f t="shared" si="23"/>
        <v>10525.87</v>
      </c>
    </row>
    <row r="159" spans="2:21" x14ac:dyDescent="0.2">
      <c r="B159" s="16">
        <f t="shared" si="26"/>
        <v>142</v>
      </c>
      <c r="C159" s="9">
        <f t="shared" si="27"/>
        <v>49612</v>
      </c>
      <c r="D159" s="6">
        <f>IFERROR((PPMT(المدخلات!$E$55/12,B159,$C$6,المدخلات!$E$54,-المدخلات!$E$65,0))," ")</f>
        <v>-5686.5616361354541</v>
      </c>
      <c r="E159" s="6">
        <f>IFERROR(((IPMT(المدخلات!$E$55/12,B159,$C$6,المدخلات!$E$54,-المدخلات!$E$65,0)))," ")</f>
        <v>-4630.9733660346465</v>
      </c>
      <c r="F159" s="6">
        <f t="shared" si="29"/>
        <v>-595292.37268312147</v>
      </c>
      <c r="G159" s="6">
        <f t="shared" si="28"/>
        <v>-869797.59762503277</v>
      </c>
      <c r="H159" s="6">
        <f t="shared" si="24"/>
        <v>-10317.535002170102</v>
      </c>
      <c r="I159" s="6">
        <f t="shared" si="25"/>
        <v>1004707.6273168785</v>
      </c>
      <c r="J159" s="6" t="str">
        <f>IF(B159&lt;&gt;"",IF(AND(المدخلات!$H$54="سنوي",MOD(B159,12)=0),المدخلات!$J$54,IF(AND(المدخلات!$H$54="القسط (الدفعة) الاول",B159=1),المدخلات!$J$54,IF(المدخلات!$H$54="شهري",المدخلات!$J$54,""))),"")</f>
        <v/>
      </c>
      <c r="K159" s="6" t="str">
        <f>IF(B159&lt;&gt;"",IF(AND(المدخلات!$H$55="سنوي",MOD(B159,12)=0),المدخلات!$J$55,IF(AND(المدخلات!$H$55="القسط (الدفعة) الاول",B159=1),المدخلات!$J$55,IF(المدخلات!$H$55="شهري",المدخلات!$J$55,""))),"")</f>
        <v/>
      </c>
      <c r="L159" s="6">
        <f>IF(B159&lt;&gt;"",IF(AND(المدخلات!$H$56="سنوي",MOD(B159,12)=0),المدخلات!$J$56,IF(AND(المدخلات!$H$56="القسط (الدفعة) الاول",B159=1),المدخلات!$J$56,IF(المدخلات!$H$56="شهري",المدخلات!$J$56,""))),"")</f>
        <v>208.33333333333334</v>
      </c>
      <c r="M159" s="6" t="str">
        <f>IF(B159&lt;&gt;"",IF(AND(المدخلات!$H$57="سنوي",MOD(B159,12)=0),المدخلات!$J$57,IF(AND(المدخلات!$H$57="القسط (الدفعة) الاول",B159=1),المدخلات!$J$57,IF(المدخلات!$H$57="شهري",المدخلات!$J$57,""))),"")</f>
        <v/>
      </c>
      <c r="N159" s="6" t="str">
        <f>IF(B159&lt;&gt;"",IF(AND(المدخلات!$H$58="سنوي",MOD(B159,12)=0),المدخلات!$J$58,IF(AND(المدخلات!$H$58="القسط (الدفعة) الاول",B159=1),المدخلات!$J$58,IF(المدخلات!$H$58="شهري",المدخلات!$J$58,IF(AND(المدخلات!$H$58="End of the loan",B159=المدخلات!$E$58),المدخلات!$J$58,"")))),"")</f>
        <v/>
      </c>
      <c r="O159" s="6">
        <f t="shared" si="20"/>
        <v>208.33333333333334</v>
      </c>
      <c r="P159" s="4">
        <f t="shared" si="21"/>
        <v>10525.868335503435</v>
      </c>
      <c r="T159" s="9">
        <f t="shared" si="22"/>
        <v>49612</v>
      </c>
      <c r="U159" s="5">
        <f t="shared" si="23"/>
        <v>10525.87</v>
      </c>
    </row>
    <row r="160" spans="2:21" x14ac:dyDescent="0.2">
      <c r="B160" s="16">
        <f t="shared" si="26"/>
        <v>143</v>
      </c>
      <c r="C160" s="9">
        <f t="shared" si="27"/>
        <v>49643</v>
      </c>
      <c r="D160" s="6">
        <f>IFERROR((PPMT(المدخلات!$E$55/12,B160,$C$6,المدخلات!$E$54,-المدخلات!$E$65,0))," ")</f>
        <v>-5712.6250436344098</v>
      </c>
      <c r="E160" s="6">
        <f>IFERROR(((IPMT(المدخلات!$E$55/12,B160,$C$6,المدخلات!$E$54,-المدخلات!$E$65,0)))," ")</f>
        <v>-4604.9099585356917</v>
      </c>
      <c r="F160" s="6">
        <f t="shared" si="29"/>
        <v>-601004.99772675592</v>
      </c>
      <c r="G160" s="6">
        <f t="shared" si="28"/>
        <v>-874402.50758356845</v>
      </c>
      <c r="H160" s="6">
        <f t="shared" si="24"/>
        <v>-10317.535002170102</v>
      </c>
      <c r="I160" s="6">
        <f t="shared" si="25"/>
        <v>998995.00227324408</v>
      </c>
      <c r="J160" s="6" t="str">
        <f>IF(B160&lt;&gt;"",IF(AND(المدخلات!$H$54="سنوي",MOD(B160,12)=0),المدخلات!$J$54,IF(AND(المدخلات!$H$54="القسط (الدفعة) الاول",B160=1),المدخلات!$J$54,IF(المدخلات!$H$54="شهري",المدخلات!$J$54,""))),"")</f>
        <v/>
      </c>
      <c r="K160" s="6" t="str">
        <f>IF(B160&lt;&gt;"",IF(AND(المدخلات!$H$55="سنوي",MOD(B160,12)=0),المدخلات!$J$55,IF(AND(المدخلات!$H$55="القسط (الدفعة) الاول",B160=1),المدخلات!$J$55,IF(المدخلات!$H$55="شهري",المدخلات!$J$55,""))),"")</f>
        <v/>
      </c>
      <c r="L160" s="6">
        <f>IF(B160&lt;&gt;"",IF(AND(المدخلات!$H$56="سنوي",MOD(B160,12)=0),المدخلات!$J$56,IF(AND(المدخلات!$H$56="القسط (الدفعة) الاول",B160=1),المدخلات!$J$56,IF(المدخلات!$H$56="شهري",المدخلات!$J$56,""))),"")</f>
        <v>208.33333333333334</v>
      </c>
      <c r="M160" s="6" t="str">
        <f>IF(B160&lt;&gt;"",IF(AND(المدخلات!$H$57="سنوي",MOD(B160,12)=0),المدخلات!$J$57,IF(AND(المدخلات!$H$57="القسط (الدفعة) الاول",B160=1),المدخلات!$J$57,IF(المدخلات!$H$57="شهري",المدخلات!$J$57,""))),"")</f>
        <v/>
      </c>
      <c r="N160" s="6" t="str">
        <f>IF(B160&lt;&gt;"",IF(AND(المدخلات!$H$58="سنوي",MOD(B160,12)=0),المدخلات!$J$58,IF(AND(المدخلات!$H$58="القسط (الدفعة) الاول",B160=1),المدخلات!$J$58,IF(المدخلات!$H$58="شهري",المدخلات!$J$58,IF(AND(المدخلات!$H$58="End of the loan",B160=المدخلات!$E$58),المدخلات!$J$58,"")))),"")</f>
        <v/>
      </c>
      <c r="O160" s="6">
        <f t="shared" si="20"/>
        <v>208.33333333333334</v>
      </c>
      <c r="P160" s="4">
        <f t="shared" si="21"/>
        <v>10525.868335503435</v>
      </c>
      <c r="T160" s="9">
        <f t="shared" si="22"/>
        <v>49643</v>
      </c>
      <c r="U160" s="5">
        <f t="shared" si="23"/>
        <v>10525.87</v>
      </c>
    </row>
    <row r="161" spans="2:21" x14ac:dyDescent="0.2">
      <c r="B161" s="16">
        <f t="shared" si="26"/>
        <v>144</v>
      </c>
      <c r="C161" s="9">
        <f t="shared" si="27"/>
        <v>49673</v>
      </c>
      <c r="D161" s="6">
        <f>IFERROR((PPMT(المدخلات!$E$55/12,B161,$C$6,المدخلات!$E$54,-المدخلات!$E$65,0))," ")</f>
        <v>-5738.8079084177334</v>
      </c>
      <c r="E161" s="6">
        <f>IFERROR(((IPMT(المدخلات!$E$55/12,B161,$C$6,المدخلات!$E$54,-المدخلات!$E$65,0)))," ")</f>
        <v>-4578.7270937523672</v>
      </c>
      <c r="F161" s="6">
        <f t="shared" si="29"/>
        <v>-606743.80563517369</v>
      </c>
      <c r="G161" s="6">
        <f t="shared" si="28"/>
        <v>-878981.23467732081</v>
      </c>
      <c r="H161" s="6">
        <f t="shared" si="24"/>
        <v>-10317.535002170102</v>
      </c>
      <c r="I161" s="6">
        <f t="shared" si="25"/>
        <v>993256.19436482631</v>
      </c>
      <c r="J161" s="6" t="str">
        <f>IF(B161&lt;&gt;"",IF(AND(المدخلات!$H$54="سنوي",MOD(B161,12)=0),المدخلات!$J$54,IF(AND(المدخلات!$H$54="القسط (الدفعة) الاول",B161=1),المدخلات!$J$54,IF(المدخلات!$H$54="شهري",المدخلات!$J$54,""))),"")</f>
        <v/>
      </c>
      <c r="K161" s="6" t="str">
        <f>IF(B161&lt;&gt;"",IF(AND(المدخلات!$H$55="سنوي",MOD(B161,12)=0),المدخلات!$J$55,IF(AND(المدخلات!$H$55="القسط (الدفعة) الاول",B161=1),المدخلات!$J$55,IF(المدخلات!$H$55="شهري",المدخلات!$J$55,""))),"")</f>
        <v/>
      </c>
      <c r="L161" s="6">
        <f>IF(B161&lt;&gt;"",IF(AND(المدخلات!$H$56="سنوي",MOD(B161,12)=0),المدخلات!$J$56,IF(AND(المدخلات!$H$56="القسط (الدفعة) الاول",B161=1),المدخلات!$J$56,IF(المدخلات!$H$56="شهري",المدخلات!$J$56,""))),"")</f>
        <v>208.33333333333334</v>
      </c>
      <c r="M161" s="6" t="str">
        <f>IF(B161&lt;&gt;"",IF(AND(المدخلات!$H$57="سنوي",MOD(B161,12)=0),المدخلات!$J$57,IF(AND(المدخلات!$H$57="القسط (الدفعة) الاول",B161=1),المدخلات!$J$57,IF(المدخلات!$H$57="شهري",المدخلات!$J$57,""))),"")</f>
        <v/>
      </c>
      <c r="N161" s="6">
        <f>IF(B161&lt;&gt;"",IF(AND(المدخلات!$H$58="سنوي",MOD(B161,12)=0),المدخلات!$J$58,IF(AND(المدخلات!$H$58="القسط (الدفعة) الاول",B161=1),المدخلات!$J$58,IF(المدخلات!$H$58="شهري",المدخلات!$J$58,IF(AND(المدخلات!$H$58="End of the loan",B161=المدخلات!$E$58),المدخلات!$J$58,"")))),"")</f>
        <v>0</v>
      </c>
      <c r="O161" s="6">
        <f t="shared" si="20"/>
        <v>208.33333333333334</v>
      </c>
      <c r="P161" s="4">
        <f t="shared" si="21"/>
        <v>10525.868335503435</v>
      </c>
      <c r="T161" s="9">
        <f t="shared" si="22"/>
        <v>49673</v>
      </c>
      <c r="U161" s="5">
        <f t="shared" si="23"/>
        <v>10525.87</v>
      </c>
    </row>
    <row r="162" spans="2:21" x14ac:dyDescent="0.2">
      <c r="B162" s="16">
        <f t="shared" si="26"/>
        <v>145</v>
      </c>
      <c r="C162" s="9">
        <f t="shared" si="27"/>
        <v>49704</v>
      </c>
      <c r="D162" s="6">
        <f>IFERROR((PPMT(المدخلات!$E$55/12,B162,$C$6,المدخلات!$E$54,-المدخلات!$E$65,0))," ")</f>
        <v>-5765.110777997982</v>
      </c>
      <c r="E162" s="6">
        <f>IFERROR(((IPMT(المدخلات!$E$55/12,B162,$C$6,المدخلات!$E$54,-المدخلات!$E$65,0)))," ")</f>
        <v>-4552.4242241721195</v>
      </c>
      <c r="F162" s="6">
        <f t="shared" si="29"/>
        <v>-612508.91641317168</v>
      </c>
      <c r="G162" s="6">
        <f t="shared" si="28"/>
        <v>-883533.65890149295</v>
      </c>
      <c r="H162" s="6">
        <f t="shared" si="24"/>
        <v>-10317.535002170102</v>
      </c>
      <c r="I162" s="6">
        <f t="shared" si="25"/>
        <v>987491.08358682832</v>
      </c>
      <c r="J162" s="6" t="str">
        <f>IF(B162&lt;&gt;"",IF(AND(المدخلات!$H$54="سنوي",MOD(B162,12)=0),المدخلات!$J$54,IF(AND(المدخلات!$H$54="القسط (الدفعة) الاول",B162=1),المدخلات!$J$54,IF(المدخلات!$H$54="شهري",المدخلات!$J$54,""))),"")</f>
        <v/>
      </c>
      <c r="K162" s="6" t="str">
        <f>IF(B162&lt;&gt;"",IF(AND(المدخلات!$H$55="سنوي",MOD(B162,12)=0),المدخلات!$J$55,IF(AND(المدخلات!$H$55="القسط (الدفعة) الاول",B162=1),المدخلات!$J$55,IF(المدخلات!$H$55="شهري",المدخلات!$J$55,""))),"")</f>
        <v/>
      </c>
      <c r="L162" s="6">
        <f>IF(B162&lt;&gt;"",IF(AND(المدخلات!$H$56="سنوي",MOD(B162,12)=0),المدخلات!$J$56,IF(AND(المدخلات!$H$56="القسط (الدفعة) الاول",B162=1),المدخلات!$J$56,IF(المدخلات!$H$56="شهري",المدخلات!$J$56,""))),"")</f>
        <v>208.33333333333334</v>
      </c>
      <c r="M162" s="6" t="str">
        <f>IF(B162&lt;&gt;"",IF(AND(المدخلات!$H$57="سنوي",MOD(B162,12)=0),المدخلات!$J$57,IF(AND(المدخلات!$H$57="القسط (الدفعة) الاول",B162=1),المدخلات!$J$57,IF(المدخلات!$H$57="شهري",المدخلات!$J$57,""))),"")</f>
        <v/>
      </c>
      <c r="N162" s="6" t="str">
        <f>IF(B162&lt;&gt;"",IF(AND(المدخلات!$H$58="سنوي",MOD(B162,12)=0),المدخلات!$J$58,IF(AND(المدخلات!$H$58="القسط (الدفعة) الاول",B162=1),المدخلات!$J$58,IF(المدخلات!$H$58="شهري",المدخلات!$J$58,IF(AND(المدخلات!$H$58="End of the loan",B162=المدخلات!$E$58),المدخلات!$J$58,"")))),"")</f>
        <v/>
      </c>
      <c r="O162" s="6">
        <f t="shared" si="20"/>
        <v>208.33333333333334</v>
      </c>
      <c r="P162" s="4">
        <f t="shared" si="21"/>
        <v>10525.868335503435</v>
      </c>
      <c r="T162" s="9">
        <f t="shared" si="22"/>
        <v>49704</v>
      </c>
      <c r="U162" s="5">
        <f t="shared" si="23"/>
        <v>10525.87</v>
      </c>
    </row>
    <row r="163" spans="2:21" x14ac:dyDescent="0.2">
      <c r="B163" s="16">
        <f t="shared" si="26"/>
        <v>146</v>
      </c>
      <c r="C163" s="9">
        <f t="shared" si="27"/>
        <v>49734</v>
      </c>
      <c r="D163" s="6">
        <f>IFERROR((PPMT(المدخلات!$E$55/12,B163,$C$6,المدخلات!$E$54,-المدخلات!$E$65,0))," ")</f>
        <v>-5791.5342023971398</v>
      </c>
      <c r="E163" s="6">
        <f>IFERROR(((IPMT(المدخلات!$E$55/12,B163,$C$6,المدخلات!$E$54,-المدخلات!$E$65,0)))," ")</f>
        <v>-4526.0007997729626</v>
      </c>
      <c r="F163" s="6">
        <f t="shared" si="29"/>
        <v>-618300.45061556878</v>
      </c>
      <c r="G163" s="6">
        <f t="shared" si="28"/>
        <v>-888059.65970126586</v>
      </c>
      <c r="H163" s="6">
        <f t="shared" si="24"/>
        <v>-10317.535002170102</v>
      </c>
      <c r="I163" s="6">
        <f t="shared" si="25"/>
        <v>981699.54938443122</v>
      </c>
      <c r="J163" s="6" t="str">
        <f>IF(B163&lt;&gt;"",IF(AND(المدخلات!$H$54="سنوي",MOD(B163,12)=0),المدخلات!$J$54,IF(AND(المدخلات!$H$54="القسط (الدفعة) الاول",B163=1),المدخلات!$J$54,IF(المدخلات!$H$54="شهري",المدخلات!$J$54,""))),"")</f>
        <v/>
      </c>
      <c r="K163" s="6" t="str">
        <f>IF(B163&lt;&gt;"",IF(AND(المدخلات!$H$55="سنوي",MOD(B163,12)=0),المدخلات!$J$55,IF(AND(المدخلات!$H$55="القسط (الدفعة) الاول",B163=1),المدخلات!$J$55,IF(المدخلات!$H$55="شهري",المدخلات!$J$55,""))),"")</f>
        <v/>
      </c>
      <c r="L163" s="6">
        <f>IF(B163&lt;&gt;"",IF(AND(المدخلات!$H$56="سنوي",MOD(B163,12)=0),المدخلات!$J$56,IF(AND(المدخلات!$H$56="القسط (الدفعة) الاول",B163=1),المدخلات!$J$56,IF(المدخلات!$H$56="شهري",المدخلات!$J$56,""))),"")</f>
        <v>208.33333333333334</v>
      </c>
      <c r="M163" s="6" t="str">
        <f>IF(B163&lt;&gt;"",IF(AND(المدخلات!$H$57="سنوي",MOD(B163,12)=0),المدخلات!$J$57,IF(AND(المدخلات!$H$57="القسط (الدفعة) الاول",B163=1),المدخلات!$J$57,IF(المدخلات!$H$57="شهري",المدخلات!$J$57,""))),"")</f>
        <v/>
      </c>
      <c r="N163" s="6" t="str">
        <f>IF(B163&lt;&gt;"",IF(AND(المدخلات!$H$58="سنوي",MOD(B163,12)=0),المدخلات!$J$58,IF(AND(المدخلات!$H$58="القسط (الدفعة) الاول",B163=1),المدخلات!$J$58,IF(المدخلات!$H$58="شهري",المدخلات!$J$58,IF(AND(المدخلات!$H$58="End of the loan",B163=المدخلات!$E$58),المدخلات!$J$58,"")))),"")</f>
        <v/>
      </c>
      <c r="O163" s="6">
        <f t="shared" si="20"/>
        <v>208.33333333333334</v>
      </c>
      <c r="P163" s="4">
        <f t="shared" si="21"/>
        <v>10525.868335503435</v>
      </c>
      <c r="T163" s="9">
        <f t="shared" si="22"/>
        <v>49734</v>
      </c>
      <c r="U163" s="5">
        <f t="shared" si="23"/>
        <v>10525.87</v>
      </c>
    </row>
    <row r="164" spans="2:21" x14ac:dyDescent="0.2">
      <c r="B164" s="16">
        <f t="shared" si="26"/>
        <v>147</v>
      </c>
      <c r="C164" s="9">
        <f t="shared" si="27"/>
        <v>49764</v>
      </c>
      <c r="D164" s="6">
        <f>IFERROR((PPMT(المدخلات!$E$55/12,B164,$C$6,المدخلات!$E$54,-المدخلات!$E$65,0))," ")</f>
        <v>-5818.0787341581263</v>
      </c>
      <c r="E164" s="6">
        <f>IFERROR(((IPMT(المدخلات!$E$55/12,B164,$C$6,المدخلات!$E$54,-المدخلات!$E$65,0)))," ")</f>
        <v>-4499.4562680119761</v>
      </c>
      <c r="F164" s="6">
        <f t="shared" si="29"/>
        <v>-624118.52934972686</v>
      </c>
      <c r="G164" s="6">
        <f t="shared" si="28"/>
        <v>-892559.1159692778</v>
      </c>
      <c r="H164" s="6">
        <f t="shared" si="24"/>
        <v>-10317.535002170102</v>
      </c>
      <c r="I164" s="6">
        <f t="shared" si="25"/>
        <v>975881.47065027314</v>
      </c>
      <c r="J164" s="6" t="str">
        <f>IF(B164&lt;&gt;"",IF(AND(المدخلات!$H$54="سنوي",MOD(B164,12)=0),المدخلات!$J$54,IF(AND(المدخلات!$H$54="القسط (الدفعة) الاول",B164=1),المدخلات!$J$54,IF(المدخلات!$H$54="شهري",المدخلات!$J$54,""))),"")</f>
        <v/>
      </c>
      <c r="K164" s="6" t="str">
        <f>IF(B164&lt;&gt;"",IF(AND(المدخلات!$H$55="سنوي",MOD(B164,12)=0),المدخلات!$J$55,IF(AND(المدخلات!$H$55="القسط (الدفعة) الاول",B164=1),المدخلات!$J$55,IF(المدخلات!$H$55="شهري",المدخلات!$J$55,""))),"")</f>
        <v/>
      </c>
      <c r="L164" s="6">
        <f>IF(B164&lt;&gt;"",IF(AND(المدخلات!$H$56="سنوي",MOD(B164,12)=0),المدخلات!$J$56,IF(AND(المدخلات!$H$56="القسط (الدفعة) الاول",B164=1),المدخلات!$J$56,IF(المدخلات!$H$56="شهري",المدخلات!$J$56,""))),"")</f>
        <v>208.33333333333334</v>
      </c>
      <c r="M164" s="6" t="str">
        <f>IF(B164&lt;&gt;"",IF(AND(المدخلات!$H$57="سنوي",MOD(B164,12)=0),المدخلات!$J$57,IF(AND(المدخلات!$H$57="القسط (الدفعة) الاول",B164=1),المدخلات!$J$57,IF(المدخلات!$H$57="شهري",المدخلات!$J$57,""))),"")</f>
        <v/>
      </c>
      <c r="N164" s="6" t="str">
        <f>IF(B164&lt;&gt;"",IF(AND(المدخلات!$H$58="سنوي",MOD(B164,12)=0),المدخلات!$J$58,IF(AND(المدخلات!$H$58="القسط (الدفعة) الاول",B164=1),المدخلات!$J$58,IF(المدخلات!$H$58="شهري",المدخلات!$J$58,IF(AND(المدخلات!$H$58="End of the loan",B164=المدخلات!$E$58),المدخلات!$J$58,"")))),"")</f>
        <v/>
      </c>
      <c r="O164" s="6">
        <f t="shared" si="20"/>
        <v>208.33333333333334</v>
      </c>
      <c r="P164" s="4">
        <f t="shared" si="21"/>
        <v>10525.868335503435</v>
      </c>
      <c r="T164" s="9">
        <f t="shared" si="22"/>
        <v>49764</v>
      </c>
      <c r="U164" s="5">
        <f t="shared" si="23"/>
        <v>10525.87</v>
      </c>
    </row>
    <row r="165" spans="2:21" x14ac:dyDescent="0.2">
      <c r="B165" s="16">
        <f t="shared" si="26"/>
        <v>148</v>
      </c>
      <c r="C165" s="9">
        <f t="shared" si="27"/>
        <v>49795</v>
      </c>
      <c r="D165" s="6">
        <f>IFERROR((PPMT(المدخلات!$E$55/12,B165,$C$6,المدخلات!$E$54,-المدخلات!$E$65,0))," ")</f>
        <v>-5844.744928356351</v>
      </c>
      <c r="E165" s="6">
        <f>IFERROR(((IPMT(المدخلات!$E$55/12,B165,$C$6,المدخلات!$E$54,-المدخلات!$E$65,0)))," ")</f>
        <v>-4472.7900738137505</v>
      </c>
      <c r="F165" s="6">
        <f t="shared" si="29"/>
        <v>-629963.27427808323</v>
      </c>
      <c r="G165" s="6">
        <f t="shared" si="28"/>
        <v>-897031.90604309156</v>
      </c>
      <c r="H165" s="6">
        <f t="shared" si="24"/>
        <v>-10317.535002170102</v>
      </c>
      <c r="I165" s="6">
        <f t="shared" si="25"/>
        <v>970036.72572191677</v>
      </c>
      <c r="J165" s="6" t="str">
        <f>IF(B165&lt;&gt;"",IF(AND(المدخلات!$H$54="سنوي",MOD(B165,12)=0),المدخلات!$J$54,IF(AND(المدخلات!$H$54="القسط (الدفعة) الاول",B165=1),المدخلات!$J$54,IF(المدخلات!$H$54="شهري",المدخلات!$J$54,""))),"")</f>
        <v/>
      </c>
      <c r="K165" s="6" t="str">
        <f>IF(B165&lt;&gt;"",IF(AND(المدخلات!$H$55="سنوي",MOD(B165,12)=0),المدخلات!$J$55,IF(AND(المدخلات!$H$55="القسط (الدفعة) الاول",B165=1),المدخلات!$J$55,IF(المدخلات!$H$55="شهري",المدخلات!$J$55,""))),"")</f>
        <v/>
      </c>
      <c r="L165" s="6">
        <f>IF(B165&lt;&gt;"",IF(AND(المدخلات!$H$56="سنوي",MOD(B165,12)=0),المدخلات!$J$56,IF(AND(المدخلات!$H$56="القسط (الدفعة) الاول",B165=1),المدخلات!$J$56,IF(المدخلات!$H$56="شهري",المدخلات!$J$56,""))),"")</f>
        <v>208.33333333333334</v>
      </c>
      <c r="M165" s="6" t="str">
        <f>IF(B165&lt;&gt;"",IF(AND(المدخلات!$H$57="سنوي",MOD(B165,12)=0),المدخلات!$J$57,IF(AND(المدخلات!$H$57="القسط (الدفعة) الاول",B165=1),المدخلات!$J$57,IF(المدخلات!$H$57="شهري",المدخلات!$J$57,""))),"")</f>
        <v/>
      </c>
      <c r="N165" s="6" t="str">
        <f>IF(B165&lt;&gt;"",IF(AND(المدخلات!$H$58="سنوي",MOD(B165,12)=0),المدخلات!$J$58,IF(AND(المدخلات!$H$58="القسط (الدفعة) الاول",B165=1),المدخلات!$J$58,IF(المدخلات!$H$58="شهري",المدخلات!$J$58,IF(AND(المدخلات!$H$58="End of the loan",B165=المدخلات!$E$58),المدخلات!$J$58,"")))),"")</f>
        <v/>
      </c>
      <c r="O165" s="6">
        <f t="shared" si="20"/>
        <v>208.33333333333334</v>
      </c>
      <c r="P165" s="4">
        <f t="shared" si="21"/>
        <v>10525.868335503435</v>
      </c>
      <c r="T165" s="9">
        <f t="shared" si="22"/>
        <v>49795</v>
      </c>
      <c r="U165" s="5">
        <f t="shared" si="23"/>
        <v>10525.87</v>
      </c>
    </row>
    <row r="166" spans="2:21" x14ac:dyDescent="0.2">
      <c r="B166" s="16">
        <f t="shared" si="26"/>
        <v>149</v>
      </c>
      <c r="C166" s="9">
        <f t="shared" si="27"/>
        <v>49825</v>
      </c>
      <c r="D166" s="6">
        <f>IFERROR((PPMT(المدخلات!$E$55/12,B166,$C$6,المدخلات!$E$54,-المدخلات!$E$65,0))," ")</f>
        <v>-5871.5333426113175</v>
      </c>
      <c r="E166" s="6">
        <f>IFERROR(((IPMT(المدخلات!$E$55/12,B166,$C$6,المدخلات!$E$54,-المدخلات!$E$65,0)))," ")</f>
        <v>-4446.001659558784</v>
      </c>
      <c r="F166" s="6">
        <f t="shared" si="29"/>
        <v>-635834.80762069451</v>
      </c>
      <c r="G166" s="6">
        <f t="shared" si="28"/>
        <v>-901477.90770265029</v>
      </c>
      <c r="H166" s="6">
        <f t="shared" si="24"/>
        <v>-10317.535002170102</v>
      </c>
      <c r="I166" s="6">
        <f t="shared" si="25"/>
        <v>964165.19237930549</v>
      </c>
      <c r="J166" s="6" t="str">
        <f>IF(B166&lt;&gt;"",IF(AND(المدخلات!$H$54="سنوي",MOD(B166,12)=0),المدخلات!$J$54,IF(AND(المدخلات!$H$54="القسط (الدفعة) الاول",B166=1),المدخلات!$J$54,IF(المدخلات!$H$54="شهري",المدخلات!$J$54,""))),"")</f>
        <v/>
      </c>
      <c r="K166" s="6" t="str">
        <f>IF(B166&lt;&gt;"",IF(AND(المدخلات!$H$55="سنوي",MOD(B166,12)=0),المدخلات!$J$55,IF(AND(المدخلات!$H$55="القسط (الدفعة) الاول",B166=1),المدخلات!$J$55,IF(المدخلات!$H$55="شهري",المدخلات!$J$55,""))),"")</f>
        <v/>
      </c>
      <c r="L166" s="6">
        <f>IF(B166&lt;&gt;"",IF(AND(المدخلات!$H$56="سنوي",MOD(B166,12)=0),المدخلات!$J$56,IF(AND(المدخلات!$H$56="القسط (الدفعة) الاول",B166=1),المدخلات!$J$56,IF(المدخلات!$H$56="شهري",المدخلات!$J$56,""))),"")</f>
        <v>208.33333333333334</v>
      </c>
      <c r="M166" s="6" t="str">
        <f>IF(B166&lt;&gt;"",IF(AND(المدخلات!$H$57="سنوي",MOD(B166,12)=0),المدخلات!$J$57,IF(AND(المدخلات!$H$57="القسط (الدفعة) الاول",B166=1),المدخلات!$J$57,IF(المدخلات!$H$57="شهري",المدخلات!$J$57,""))),"")</f>
        <v/>
      </c>
      <c r="N166" s="6" t="str">
        <f>IF(B166&lt;&gt;"",IF(AND(المدخلات!$H$58="سنوي",MOD(B166,12)=0),المدخلات!$J$58,IF(AND(المدخلات!$H$58="القسط (الدفعة) الاول",B166=1),المدخلات!$J$58,IF(المدخلات!$H$58="شهري",المدخلات!$J$58,IF(AND(المدخلات!$H$58="End of the loan",B166=المدخلات!$E$58),المدخلات!$J$58,"")))),"")</f>
        <v/>
      </c>
      <c r="O166" s="6">
        <f t="shared" si="20"/>
        <v>208.33333333333334</v>
      </c>
      <c r="P166" s="4">
        <f t="shared" si="21"/>
        <v>10525.868335503435</v>
      </c>
      <c r="T166" s="9">
        <f t="shared" si="22"/>
        <v>49825</v>
      </c>
      <c r="U166" s="5">
        <f t="shared" si="23"/>
        <v>10525.87</v>
      </c>
    </row>
    <row r="167" spans="2:21" x14ac:dyDescent="0.2">
      <c r="B167" s="16">
        <f t="shared" si="26"/>
        <v>150</v>
      </c>
      <c r="C167" s="9">
        <f t="shared" si="27"/>
        <v>49856</v>
      </c>
      <c r="D167" s="6">
        <f>IFERROR((PPMT(المدخلات!$E$55/12,B167,$C$6,المدخلات!$E$54,-المدخلات!$E$65,0))," ")</f>
        <v>-5898.4445370982858</v>
      </c>
      <c r="E167" s="6">
        <f>IFERROR(((IPMT(المدخلات!$E$55/12,B167,$C$6,المدخلات!$E$54,-المدخلات!$E$65,0)))," ")</f>
        <v>-4419.0904650718148</v>
      </c>
      <c r="F167" s="6">
        <f t="shared" si="29"/>
        <v>-641733.2521577928</v>
      </c>
      <c r="G167" s="6">
        <f t="shared" si="28"/>
        <v>-905896.99816772214</v>
      </c>
      <c r="H167" s="6">
        <f t="shared" si="24"/>
        <v>-10317.535002170102</v>
      </c>
      <c r="I167" s="6">
        <f t="shared" si="25"/>
        <v>958266.7478422072</v>
      </c>
      <c r="J167" s="6" t="str">
        <f>IF(B167&lt;&gt;"",IF(AND(المدخلات!$H$54="سنوي",MOD(B167,12)=0),المدخلات!$J$54,IF(AND(المدخلات!$H$54="القسط (الدفعة) الاول",B167=1),المدخلات!$J$54,IF(المدخلات!$H$54="شهري",المدخلات!$J$54,""))),"")</f>
        <v/>
      </c>
      <c r="K167" s="6" t="str">
        <f>IF(B167&lt;&gt;"",IF(AND(المدخلات!$H$55="سنوي",MOD(B167,12)=0),المدخلات!$J$55,IF(AND(المدخلات!$H$55="القسط (الدفعة) الاول",B167=1),المدخلات!$J$55,IF(المدخلات!$H$55="شهري",المدخلات!$J$55,""))),"")</f>
        <v/>
      </c>
      <c r="L167" s="6">
        <f>IF(B167&lt;&gt;"",IF(AND(المدخلات!$H$56="سنوي",MOD(B167,12)=0),المدخلات!$J$56,IF(AND(المدخلات!$H$56="القسط (الدفعة) الاول",B167=1),المدخلات!$J$56,IF(المدخلات!$H$56="شهري",المدخلات!$J$56,""))),"")</f>
        <v>208.33333333333334</v>
      </c>
      <c r="M167" s="6" t="str">
        <f>IF(B167&lt;&gt;"",IF(AND(المدخلات!$H$57="سنوي",MOD(B167,12)=0),المدخلات!$J$57,IF(AND(المدخلات!$H$57="القسط (الدفعة) الاول",B167=1),المدخلات!$J$57,IF(المدخلات!$H$57="شهري",المدخلات!$J$57,""))),"")</f>
        <v/>
      </c>
      <c r="N167" s="6" t="str">
        <f>IF(B167&lt;&gt;"",IF(AND(المدخلات!$H$58="سنوي",MOD(B167,12)=0),المدخلات!$J$58,IF(AND(المدخلات!$H$58="القسط (الدفعة) الاول",B167=1),المدخلات!$J$58,IF(المدخلات!$H$58="شهري",المدخلات!$J$58,IF(AND(المدخلات!$H$58="End of the loan",B167=المدخلات!$E$58),المدخلات!$J$58,"")))),"")</f>
        <v/>
      </c>
      <c r="O167" s="6">
        <f t="shared" si="20"/>
        <v>208.33333333333334</v>
      </c>
      <c r="P167" s="4">
        <f t="shared" si="21"/>
        <v>10525.868335503435</v>
      </c>
      <c r="T167" s="9">
        <f t="shared" si="22"/>
        <v>49856</v>
      </c>
      <c r="U167" s="5">
        <f t="shared" si="23"/>
        <v>10525.87</v>
      </c>
    </row>
    <row r="168" spans="2:21" x14ac:dyDescent="0.2">
      <c r="B168" s="16">
        <f t="shared" si="26"/>
        <v>151</v>
      </c>
      <c r="C168" s="9">
        <f t="shared" si="27"/>
        <v>49886</v>
      </c>
      <c r="D168" s="6">
        <f>IFERROR((PPMT(المدخلات!$E$55/12,B168,$C$6,المدخلات!$E$54,-المدخلات!$E$65,0))," ")</f>
        <v>-5925.4790745599867</v>
      </c>
      <c r="E168" s="6">
        <f>IFERROR(((IPMT(المدخلات!$E$55/12,B168,$C$6,المدخلات!$E$54,-المدخلات!$E$65,0)))," ")</f>
        <v>-4392.0559276101148</v>
      </c>
      <c r="F168" s="6">
        <f t="shared" si="29"/>
        <v>-647658.73123235279</v>
      </c>
      <c r="G168" s="6">
        <f t="shared" si="28"/>
        <v>-910289.05409533228</v>
      </c>
      <c r="H168" s="6">
        <f t="shared" si="24"/>
        <v>-10317.535002170102</v>
      </c>
      <c r="I168" s="6">
        <f t="shared" si="25"/>
        <v>952341.26876764721</v>
      </c>
      <c r="J168" s="6" t="str">
        <f>IF(B168&lt;&gt;"",IF(AND(المدخلات!$H$54="سنوي",MOD(B168,12)=0),المدخلات!$J$54,IF(AND(المدخلات!$H$54="القسط (الدفعة) الاول",B168=1),المدخلات!$J$54,IF(المدخلات!$H$54="شهري",المدخلات!$J$54,""))),"")</f>
        <v/>
      </c>
      <c r="K168" s="6" t="str">
        <f>IF(B168&lt;&gt;"",IF(AND(المدخلات!$H$55="سنوي",MOD(B168,12)=0),المدخلات!$J$55,IF(AND(المدخلات!$H$55="القسط (الدفعة) الاول",B168=1),المدخلات!$J$55,IF(المدخلات!$H$55="شهري",المدخلات!$J$55,""))),"")</f>
        <v/>
      </c>
      <c r="L168" s="6">
        <f>IF(B168&lt;&gt;"",IF(AND(المدخلات!$H$56="سنوي",MOD(B168,12)=0),المدخلات!$J$56,IF(AND(المدخلات!$H$56="القسط (الدفعة) الاول",B168=1),المدخلات!$J$56,IF(المدخلات!$H$56="شهري",المدخلات!$J$56,""))),"")</f>
        <v>208.33333333333334</v>
      </c>
      <c r="M168" s="6" t="str">
        <f>IF(B168&lt;&gt;"",IF(AND(المدخلات!$H$57="سنوي",MOD(B168,12)=0),المدخلات!$J$57,IF(AND(المدخلات!$H$57="القسط (الدفعة) الاول",B168=1),المدخلات!$J$57,IF(المدخلات!$H$57="شهري",المدخلات!$J$57,""))),"")</f>
        <v/>
      </c>
      <c r="N168" s="6" t="str">
        <f>IF(B168&lt;&gt;"",IF(AND(المدخلات!$H$58="سنوي",MOD(B168,12)=0),المدخلات!$J$58,IF(AND(المدخلات!$H$58="القسط (الدفعة) الاول",B168=1),المدخلات!$J$58,IF(المدخلات!$H$58="شهري",المدخلات!$J$58,IF(AND(المدخلات!$H$58="End of the loan",B168=المدخلات!$E$58),المدخلات!$J$58,"")))),"")</f>
        <v/>
      </c>
      <c r="O168" s="6">
        <f t="shared" si="20"/>
        <v>208.33333333333334</v>
      </c>
      <c r="P168" s="4">
        <f t="shared" si="21"/>
        <v>10525.868335503435</v>
      </c>
      <c r="T168" s="9">
        <f t="shared" si="22"/>
        <v>49886</v>
      </c>
      <c r="U168" s="5">
        <f t="shared" si="23"/>
        <v>10525.87</v>
      </c>
    </row>
    <row r="169" spans="2:21" x14ac:dyDescent="0.2">
      <c r="B169" s="16">
        <f t="shared" si="26"/>
        <v>152</v>
      </c>
      <c r="C169" s="9">
        <f t="shared" si="27"/>
        <v>49917</v>
      </c>
      <c r="D169" s="6">
        <f>IFERROR((PPMT(المدخلات!$E$55/12,B169,$C$6,المدخلات!$E$54,-المدخلات!$E$65,0))," ")</f>
        <v>-5952.6375203183861</v>
      </c>
      <c r="E169" s="6">
        <f>IFERROR(((IPMT(المدخلات!$E$55/12,B169,$C$6,المدخلات!$E$54,-المدخلات!$E$65,0)))," ")</f>
        <v>-4364.8974818517154</v>
      </c>
      <c r="F169" s="6">
        <f t="shared" si="29"/>
        <v>-653611.36875267117</v>
      </c>
      <c r="G169" s="6">
        <f t="shared" si="28"/>
        <v>-914653.95157718402</v>
      </c>
      <c r="H169" s="6">
        <f t="shared" si="24"/>
        <v>-10317.535002170102</v>
      </c>
      <c r="I169" s="6">
        <f t="shared" si="25"/>
        <v>946388.63124732883</v>
      </c>
      <c r="J169" s="6" t="str">
        <f>IF(B169&lt;&gt;"",IF(AND(المدخلات!$H$54="سنوي",MOD(B169,12)=0),المدخلات!$J$54,IF(AND(المدخلات!$H$54="القسط (الدفعة) الاول",B169=1),المدخلات!$J$54,IF(المدخلات!$H$54="شهري",المدخلات!$J$54,""))),"")</f>
        <v/>
      </c>
      <c r="K169" s="6" t="str">
        <f>IF(B169&lt;&gt;"",IF(AND(المدخلات!$H$55="سنوي",MOD(B169,12)=0),المدخلات!$J$55,IF(AND(المدخلات!$H$55="القسط (الدفعة) الاول",B169=1),المدخلات!$J$55,IF(المدخلات!$H$55="شهري",المدخلات!$J$55,""))),"")</f>
        <v/>
      </c>
      <c r="L169" s="6">
        <f>IF(B169&lt;&gt;"",IF(AND(المدخلات!$H$56="سنوي",MOD(B169,12)=0),المدخلات!$J$56,IF(AND(المدخلات!$H$56="القسط (الدفعة) الاول",B169=1),المدخلات!$J$56,IF(المدخلات!$H$56="شهري",المدخلات!$J$56,""))),"")</f>
        <v>208.33333333333334</v>
      </c>
      <c r="M169" s="6" t="str">
        <f>IF(B169&lt;&gt;"",IF(AND(المدخلات!$H$57="سنوي",MOD(B169,12)=0),المدخلات!$J$57,IF(AND(المدخلات!$H$57="القسط (الدفعة) الاول",B169=1),المدخلات!$J$57,IF(المدخلات!$H$57="شهري",المدخلات!$J$57,""))),"")</f>
        <v/>
      </c>
      <c r="N169" s="6" t="str">
        <f>IF(B169&lt;&gt;"",IF(AND(المدخلات!$H$58="سنوي",MOD(B169,12)=0),المدخلات!$J$58,IF(AND(المدخلات!$H$58="القسط (الدفعة) الاول",B169=1),المدخلات!$J$58,IF(المدخلات!$H$58="شهري",المدخلات!$J$58,IF(AND(المدخلات!$H$58="End of the loan",B169=المدخلات!$E$58),المدخلات!$J$58,"")))),"")</f>
        <v/>
      </c>
      <c r="O169" s="6">
        <f t="shared" si="20"/>
        <v>208.33333333333334</v>
      </c>
      <c r="P169" s="4">
        <f t="shared" si="21"/>
        <v>10525.868335503435</v>
      </c>
      <c r="T169" s="9">
        <f t="shared" si="22"/>
        <v>49917</v>
      </c>
      <c r="U169" s="5">
        <f t="shared" si="23"/>
        <v>10525.87</v>
      </c>
    </row>
    <row r="170" spans="2:21" x14ac:dyDescent="0.2">
      <c r="B170" s="16">
        <f t="shared" si="26"/>
        <v>153</v>
      </c>
      <c r="C170" s="9">
        <f t="shared" si="27"/>
        <v>49948</v>
      </c>
      <c r="D170" s="6">
        <f>IFERROR((PPMT(المدخلات!$E$55/12,B170,$C$6,المدخلات!$E$54,-المدخلات!$E$65,0))," ")</f>
        <v>-5979.9204422865123</v>
      </c>
      <c r="E170" s="6">
        <f>IFERROR(((IPMT(المدخلات!$E$55/12,B170,$C$6,المدخلات!$E$54,-المدخلات!$E$65,0)))," ")</f>
        <v>-4337.6145598835892</v>
      </c>
      <c r="F170" s="6">
        <f t="shared" si="29"/>
        <v>-659591.2891949577</v>
      </c>
      <c r="G170" s="6">
        <f t="shared" si="28"/>
        <v>-918991.56613706762</v>
      </c>
      <c r="H170" s="6">
        <f t="shared" si="24"/>
        <v>-10317.535002170102</v>
      </c>
      <c r="I170" s="6">
        <f t="shared" si="25"/>
        <v>940408.7108050423</v>
      </c>
      <c r="J170" s="6" t="str">
        <f>IF(B170&lt;&gt;"",IF(AND(المدخلات!$H$54="سنوي",MOD(B170,12)=0),المدخلات!$J$54,IF(AND(المدخلات!$H$54="القسط (الدفعة) الاول",B170=1),المدخلات!$J$54,IF(المدخلات!$H$54="شهري",المدخلات!$J$54,""))),"")</f>
        <v/>
      </c>
      <c r="K170" s="6" t="str">
        <f>IF(B170&lt;&gt;"",IF(AND(المدخلات!$H$55="سنوي",MOD(B170,12)=0),المدخلات!$J$55,IF(AND(المدخلات!$H$55="القسط (الدفعة) الاول",B170=1),المدخلات!$J$55,IF(المدخلات!$H$55="شهري",المدخلات!$J$55,""))),"")</f>
        <v/>
      </c>
      <c r="L170" s="6">
        <f>IF(B170&lt;&gt;"",IF(AND(المدخلات!$H$56="سنوي",MOD(B170,12)=0),المدخلات!$J$56,IF(AND(المدخلات!$H$56="القسط (الدفعة) الاول",B170=1),المدخلات!$J$56,IF(المدخلات!$H$56="شهري",المدخلات!$J$56,""))),"")</f>
        <v>208.33333333333334</v>
      </c>
      <c r="M170" s="6" t="str">
        <f>IF(B170&lt;&gt;"",IF(AND(المدخلات!$H$57="سنوي",MOD(B170,12)=0),المدخلات!$J$57,IF(AND(المدخلات!$H$57="القسط (الدفعة) الاول",B170=1),المدخلات!$J$57,IF(المدخلات!$H$57="شهري",المدخلات!$J$57,""))),"")</f>
        <v/>
      </c>
      <c r="N170" s="6" t="str">
        <f>IF(B170&lt;&gt;"",IF(AND(المدخلات!$H$58="سنوي",MOD(B170,12)=0),المدخلات!$J$58,IF(AND(المدخلات!$H$58="القسط (الدفعة) الاول",B170=1),المدخلات!$J$58,IF(المدخلات!$H$58="شهري",المدخلات!$J$58,IF(AND(المدخلات!$H$58="End of the loan",B170=المدخلات!$E$58),المدخلات!$J$58,"")))),"")</f>
        <v/>
      </c>
      <c r="O170" s="6">
        <f t="shared" si="20"/>
        <v>208.33333333333334</v>
      </c>
      <c r="P170" s="4">
        <f t="shared" si="21"/>
        <v>10525.868335503435</v>
      </c>
      <c r="T170" s="9">
        <f t="shared" si="22"/>
        <v>49948</v>
      </c>
      <c r="U170" s="5">
        <f t="shared" si="23"/>
        <v>10525.87</v>
      </c>
    </row>
    <row r="171" spans="2:21" x14ac:dyDescent="0.2">
      <c r="B171" s="16">
        <f t="shared" si="26"/>
        <v>154</v>
      </c>
      <c r="C171" s="9">
        <f t="shared" si="27"/>
        <v>49978</v>
      </c>
      <c r="D171" s="6">
        <f>IFERROR((PPMT(المدخلات!$E$55/12,B171,$C$6,المدخلات!$E$54,-المدخلات!$E$65,0))," ")</f>
        <v>-6007.3284109803262</v>
      </c>
      <c r="E171" s="6">
        <f>IFERROR(((IPMT(المدخلات!$E$55/12,B171,$C$6,المدخلات!$E$54,-المدخلات!$E$65,0)))," ")</f>
        <v>-4310.2065911897753</v>
      </c>
      <c r="F171" s="6">
        <f t="shared" si="29"/>
        <v>-665598.61760593799</v>
      </c>
      <c r="G171" s="6">
        <f t="shared" si="28"/>
        <v>-923301.77272825735</v>
      </c>
      <c r="H171" s="6">
        <f t="shared" si="24"/>
        <v>-10317.535002170102</v>
      </c>
      <c r="I171" s="6">
        <f t="shared" si="25"/>
        <v>934401.38239406201</v>
      </c>
      <c r="J171" s="6" t="str">
        <f>IF(B171&lt;&gt;"",IF(AND(المدخلات!$H$54="سنوي",MOD(B171,12)=0),المدخلات!$J$54,IF(AND(المدخلات!$H$54="القسط (الدفعة) الاول",B171=1),المدخلات!$J$54,IF(المدخلات!$H$54="شهري",المدخلات!$J$54,""))),"")</f>
        <v/>
      </c>
      <c r="K171" s="6" t="str">
        <f>IF(B171&lt;&gt;"",IF(AND(المدخلات!$H$55="سنوي",MOD(B171,12)=0),المدخلات!$J$55,IF(AND(المدخلات!$H$55="القسط (الدفعة) الاول",B171=1),المدخلات!$J$55,IF(المدخلات!$H$55="شهري",المدخلات!$J$55,""))),"")</f>
        <v/>
      </c>
      <c r="L171" s="6">
        <f>IF(B171&lt;&gt;"",IF(AND(المدخلات!$H$56="سنوي",MOD(B171,12)=0),المدخلات!$J$56,IF(AND(المدخلات!$H$56="القسط (الدفعة) الاول",B171=1),المدخلات!$J$56,IF(المدخلات!$H$56="شهري",المدخلات!$J$56,""))),"")</f>
        <v>208.33333333333334</v>
      </c>
      <c r="M171" s="6" t="str">
        <f>IF(B171&lt;&gt;"",IF(AND(المدخلات!$H$57="سنوي",MOD(B171,12)=0),المدخلات!$J$57,IF(AND(المدخلات!$H$57="القسط (الدفعة) الاول",B171=1),المدخلات!$J$57,IF(المدخلات!$H$57="شهري",المدخلات!$J$57,""))),"")</f>
        <v/>
      </c>
      <c r="N171" s="6" t="str">
        <f>IF(B171&lt;&gt;"",IF(AND(المدخلات!$H$58="سنوي",MOD(B171,12)=0),المدخلات!$J$58,IF(AND(المدخلات!$H$58="القسط (الدفعة) الاول",B171=1),المدخلات!$J$58,IF(المدخلات!$H$58="شهري",المدخلات!$J$58,IF(AND(المدخلات!$H$58="End of the loan",B171=المدخلات!$E$58),المدخلات!$J$58,"")))),"")</f>
        <v/>
      </c>
      <c r="O171" s="6">
        <f t="shared" si="20"/>
        <v>208.33333333333334</v>
      </c>
      <c r="P171" s="4">
        <f t="shared" si="21"/>
        <v>10525.868335503435</v>
      </c>
      <c r="T171" s="9">
        <f t="shared" si="22"/>
        <v>49978</v>
      </c>
      <c r="U171" s="5">
        <f t="shared" si="23"/>
        <v>10525.87</v>
      </c>
    </row>
    <row r="172" spans="2:21" x14ac:dyDescent="0.2">
      <c r="B172" s="16">
        <f t="shared" si="26"/>
        <v>155</v>
      </c>
      <c r="C172" s="9">
        <f t="shared" si="27"/>
        <v>50009</v>
      </c>
      <c r="D172" s="6">
        <f>IFERROR((PPMT(المدخلات!$E$55/12,B172,$C$6,المدخلات!$E$54,-المدخلات!$E$65,0))," ")</f>
        <v>-6034.8619995306526</v>
      </c>
      <c r="E172" s="6">
        <f>IFERROR(((IPMT(المدخلات!$E$55/12,B172,$C$6,المدخلات!$E$54,-المدخلات!$E$65,0)))," ")</f>
        <v>-4282.6730026394489</v>
      </c>
      <c r="F172" s="6">
        <f t="shared" si="29"/>
        <v>-671633.47960546869</v>
      </c>
      <c r="G172" s="6">
        <f t="shared" si="28"/>
        <v>-927584.44573089678</v>
      </c>
      <c r="H172" s="6">
        <f t="shared" si="24"/>
        <v>-10317.535002170102</v>
      </c>
      <c r="I172" s="6">
        <f t="shared" si="25"/>
        <v>928366.52039453131</v>
      </c>
      <c r="J172" s="6" t="str">
        <f>IF(B172&lt;&gt;"",IF(AND(المدخلات!$H$54="سنوي",MOD(B172,12)=0),المدخلات!$J$54,IF(AND(المدخلات!$H$54="القسط (الدفعة) الاول",B172=1),المدخلات!$J$54,IF(المدخلات!$H$54="شهري",المدخلات!$J$54,""))),"")</f>
        <v/>
      </c>
      <c r="K172" s="6" t="str">
        <f>IF(B172&lt;&gt;"",IF(AND(المدخلات!$H$55="سنوي",MOD(B172,12)=0),المدخلات!$J$55,IF(AND(المدخلات!$H$55="القسط (الدفعة) الاول",B172=1),المدخلات!$J$55,IF(المدخلات!$H$55="شهري",المدخلات!$J$55,""))),"")</f>
        <v/>
      </c>
      <c r="L172" s="6">
        <f>IF(B172&lt;&gt;"",IF(AND(المدخلات!$H$56="سنوي",MOD(B172,12)=0),المدخلات!$J$56,IF(AND(المدخلات!$H$56="القسط (الدفعة) الاول",B172=1),المدخلات!$J$56,IF(المدخلات!$H$56="شهري",المدخلات!$J$56,""))),"")</f>
        <v>208.33333333333334</v>
      </c>
      <c r="M172" s="6" t="str">
        <f>IF(B172&lt;&gt;"",IF(AND(المدخلات!$H$57="سنوي",MOD(B172,12)=0),المدخلات!$J$57,IF(AND(المدخلات!$H$57="القسط (الدفعة) الاول",B172=1),المدخلات!$J$57,IF(المدخلات!$H$57="شهري",المدخلات!$J$57,""))),"")</f>
        <v/>
      </c>
      <c r="N172" s="6" t="str">
        <f>IF(B172&lt;&gt;"",IF(AND(المدخلات!$H$58="سنوي",MOD(B172,12)=0),المدخلات!$J$58,IF(AND(المدخلات!$H$58="القسط (الدفعة) الاول",B172=1),المدخلات!$J$58,IF(المدخلات!$H$58="شهري",المدخلات!$J$58,IF(AND(المدخلات!$H$58="End of the loan",B172=المدخلات!$E$58),المدخلات!$J$58,"")))),"")</f>
        <v/>
      </c>
      <c r="O172" s="6">
        <f t="shared" si="20"/>
        <v>208.33333333333334</v>
      </c>
      <c r="P172" s="4">
        <f t="shared" si="21"/>
        <v>10525.868335503435</v>
      </c>
      <c r="T172" s="9">
        <f t="shared" si="22"/>
        <v>50009</v>
      </c>
      <c r="U172" s="5">
        <f t="shared" si="23"/>
        <v>10525.87</v>
      </c>
    </row>
    <row r="173" spans="2:21" x14ac:dyDescent="0.2">
      <c r="B173" s="16">
        <f t="shared" si="26"/>
        <v>156</v>
      </c>
      <c r="C173" s="9">
        <f t="shared" si="27"/>
        <v>50039</v>
      </c>
      <c r="D173" s="6">
        <f>IFERROR((PPMT(المدخلات!$E$55/12,B173,$C$6,المدخلات!$E$54,-المدخلات!$E$65,0))," ")</f>
        <v>-6062.521783695167</v>
      </c>
      <c r="E173" s="6">
        <f>IFERROR(((IPMT(المدخلات!$E$55/12,B173,$C$6,المدخلات!$E$54,-المدخلات!$E$65,0)))," ")</f>
        <v>-4255.0132184749345</v>
      </c>
      <c r="F173" s="6">
        <f t="shared" si="29"/>
        <v>-677696.0013891639</v>
      </c>
      <c r="G173" s="6">
        <f t="shared" si="28"/>
        <v>-931839.45894937171</v>
      </c>
      <c r="H173" s="6">
        <f t="shared" si="24"/>
        <v>-10317.535002170102</v>
      </c>
      <c r="I173" s="6">
        <f t="shared" si="25"/>
        <v>922303.9986108361</v>
      </c>
      <c r="J173" s="6" t="str">
        <f>IF(B173&lt;&gt;"",IF(AND(المدخلات!$H$54="سنوي",MOD(B173,12)=0),المدخلات!$J$54,IF(AND(المدخلات!$H$54="القسط (الدفعة) الاول",B173=1),المدخلات!$J$54,IF(المدخلات!$H$54="شهري",المدخلات!$J$54,""))),"")</f>
        <v/>
      </c>
      <c r="K173" s="6" t="str">
        <f>IF(B173&lt;&gt;"",IF(AND(المدخلات!$H$55="سنوي",MOD(B173,12)=0),المدخلات!$J$55,IF(AND(المدخلات!$H$55="القسط (الدفعة) الاول",B173=1),المدخلات!$J$55,IF(المدخلات!$H$55="شهري",المدخلات!$J$55,""))),"")</f>
        <v/>
      </c>
      <c r="L173" s="6">
        <f>IF(B173&lt;&gt;"",IF(AND(المدخلات!$H$56="سنوي",MOD(B173,12)=0),المدخلات!$J$56,IF(AND(المدخلات!$H$56="القسط (الدفعة) الاول",B173=1),المدخلات!$J$56,IF(المدخلات!$H$56="شهري",المدخلات!$J$56,""))),"")</f>
        <v>208.33333333333334</v>
      </c>
      <c r="M173" s="6" t="str">
        <f>IF(B173&lt;&gt;"",IF(AND(المدخلات!$H$57="سنوي",MOD(B173,12)=0),المدخلات!$J$57,IF(AND(المدخلات!$H$57="القسط (الدفعة) الاول",B173=1),المدخلات!$J$57,IF(المدخلات!$H$57="شهري",المدخلات!$J$57,""))),"")</f>
        <v/>
      </c>
      <c r="N173" s="6">
        <f>IF(B173&lt;&gt;"",IF(AND(المدخلات!$H$58="سنوي",MOD(B173,12)=0),المدخلات!$J$58,IF(AND(المدخلات!$H$58="القسط (الدفعة) الاول",B173=1),المدخلات!$J$58,IF(المدخلات!$H$58="شهري",المدخلات!$J$58,IF(AND(المدخلات!$H$58="End of the loan",B173=المدخلات!$E$58),المدخلات!$J$58,"")))),"")</f>
        <v>0</v>
      </c>
      <c r="O173" s="6">
        <f t="shared" si="20"/>
        <v>208.33333333333334</v>
      </c>
      <c r="P173" s="4">
        <f t="shared" si="21"/>
        <v>10525.868335503435</v>
      </c>
      <c r="T173" s="9">
        <f t="shared" si="22"/>
        <v>50039</v>
      </c>
      <c r="U173" s="5">
        <f t="shared" si="23"/>
        <v>10525.87</v>
      </c>
    </row>
    <row r="174" spans="2:21" x14ac:dyDescent="0.2">
      <c r="B174" s="16">
        <f t="shared" si="26"/>
        <v>157</v>
      </c>
      <c r="C174" s="9">
        <f t="shared" si="27"/>
        <v>50070</v>
      </c>
      <c r="D174" s="6">
        <f>IFERROR((PPMT(المدخلات!$E$55/12,B174,$C$6,المدخلات!$E$54,-المدخلات!$E$65,0))," ")</f>
        <v>-6090.3083418704364</v>
      </c>
      <c r="E174" s="6">
        <f>IFERROR(((IPMT(المدخلات!$E$55/12,B174,$C$6,المدخلات!$E$54,-المدخلات!$E$65,0)))," ")</f>
        <v>-4227.2266602996642</v>
      </c>
      <c r="F174" s="6">
        <f t="shared" si="29"/>
        <v>-683786.30973103433</v>
      </c>
      <c r="G174" s="6">
        <f t="shared" si="28"/>
        <v>-936066.6856096714</v>
      </c>
      <c r="H174" s="6">
        <f t="shared" si="24"/>
        <v>-10317.535002170102</v>
      </c>
      <c r="I174" s="6">
        <f t="shared" si="25"/>
        <v>916213.69026896567</v>
      </c>
      <c r="J174" s="6" t="str">
        <f>IF(B174&lt;&gt;"",IF(AND(المدخلات!$H$54="سنوي",MOD(B174,12)=0),المدخلات!$J$54,IF(AND(المدخلات!$H$54="القسط (الدفعة) الاول",B174=1),المدخلات!$J$54,IF(المدخلات!$H$54="شهري",المدخلات!$J$54,""))),"")</f>
        <v/>
      </c>
      <c r="K174" s="6" t="str">
        <f>IF(B174&lt;&gt;"",IF(AND(المدخلات!$H$55="سنوي",MOD(B174,12)=0),المدخلات!$J$55,IF(AND(المدخلات!$H$55="القسط (الدفعة) الاول",B174=1),المدخلات!$J$55,IF(المدخلات!$H$55="شهري",المدخلات!$J$55,""))),"")</f>
        <v/>
      </c>
      <c r="L174" s="6">
        <f>IF(B174&lt;&gt;"",IF(AND(المدخلات!$H$56="سنوي",MOD(B174,12)=0),المدخلات!$J$56,IF(AND(المدخلات!$H$56="القسط (الدفعة) الاول",B174=1),المدخلات!$J$56,IF(المدخلات!$H$56="شهري",المدخلات!$J$56,""))),"")</f>
        <v>208.33333333333334</v>
      </c>
      <c r="M174" s="6" t="str">
        <f>IF(B174&lt;&gt;"",IF(AND(المدخلات!$H$57="سنوي",MOD(B174,12)=0),المدخلات!$J$57,IF(AND(المدخلات!$H$57="القسط (الدفعة) الاول",B174=1),المدخلات!$J$57,IF(المدخلات!$H$57="شهري",المدخلات!$J$57,""))),"")</f>
        <v/>
      </c>
      <c r="N174" s="6" t="str">
        <f>IF(B174&lt;&gt;"",IF(AND(المدخلات!$H$58="سنوي",MOD(B174,12)=0),المدخلات!$J$58,IF(AND(المدخلات!$H$58="القسط (الدفعة) الاول",B174=1),المدخلات!$J$58,IF(المدخلات!$H$58="شهري",المدخلات!$J$58,IF(AND(المدخلات!$H$58="End of the loan",B174=المدخلات!$E$58),المدخلات!$J$58,"")))),"")</f>
        <v/>
      </c>
      <c r="O174" s="6">
        <f t="shared" si="20"/>
        <v>208.33333333333334</v>
      </c>
      <c r="P174" s="4">
        <f t="shared" si="21"/>
        <v>10525.868335503435</v>
      </c>
      <c r="T174" s="9">
        <f t="shared" si="22"/>
        <v>50070</v>
      </c>
      <c r="U174" s="5">
        <f t="shared" si="23"/>
        <v>10525.87</v>
      </c>
    </row>
    <row r="175" spans="2:21" x14ac:dyDescent="0.2">
      <c r="B175" s="16">
        <f t="shared" si="26"/>
        <v>158</v>
      </c>
      <c r="C175" s="9">
        <f t="shared" si="27"/>
        <v>50099</v>
      </c>
      <c r="D175" s="6">
        <f>IFERROR((PPMT(المدخلات!$E$55/12,B175,$C$6,المدخلات!$E$54,-المدخلات!$E$65,0))," ")</f>
        <v>-6118.2222551040095</v>
      </c>
      <c r="E175" s="6">
        <f>IFERROR(((IPMT(المدخلات!$E$55/12,B175,$C$6,المدخلات!$E$54,-المدخلات!$E$65,0)))," ")</f>
        <v>-4199.312747066092</v>
      </c>
      <c r="F175" s="6">
        <f t="shared" si="29"/>
        <v>-689904.53198613832</v>
      </c>
      <c r="G175" s="6">
        <f t="shared" si="28"/>
        <v>-940265.99835673755</v>
      </c>
      <c r="H175" s="6">
        <f t="shared" si="24"/>
        <v>-10317.535002170102</v>
      </c>
      <c r="I175" s="6">
        <f t="shared" si="25"/>
        <v>910095.46801386168</v>
      </c>
      <c r="J175" s="6" t="str">
        <f>IF(B175&lt;&gt;"",IF(AND(المدخلات!$H$54="سنوي",MOD(B175,12)=0),المدخلات!$J$54,IF(AND(المدخلات!$H$54="القسط (الدفعة) الاول",B175=1),المدخلات!$J$54,IF(المدخلات!$H$54="شهري",المدخلات!$J$54,""))),"")</f>
        <v/>
      </c>
      <c r="K175" s="6" t="str">
        <f>IF(B175&lt;&gt;"",IF(AND(المدخلات!$H$55="سنوي",MOD(B175,12)=0),المدخلات!$J$55,IF(AND(المدخلات!$H$55="القسط (الدفعة) الاول",B175=1),المدخلات!$J$55,IF(المدخلات!$H$55="شهري",المدخلات!$J$55,""))),"")</f>
        <v/>
      </c>
      <c r="L175" s="6">
        <f>IF(B175&lt;&gt;"",IF(AND(المدخلات!$H$56="سنوي",MOD(B175,12)=0),المدخلات!$J$56,IF(AND(المدخلات!$H$56="القسط (الدفعة) الاول",B175=1),المدخلات!$J$56,IF(المدخلات!$H$56="شهري",المدخلات!$J$56,""))),"")</f>
        <v>208.33333333333334</v>
      </c>
      <c r="M175" s="6" t="str">
        <f>IF(B175&lt;&gt;"",IF(AND(المدخلات!$H$57="سنوي",MOD(B175,12)=0),المدخلات!$J$57,IF(AND(المدخلات!$H$57="القسط (الدفعة) الاول",B175=1),المدخلات!$J$57,IF(المدخلات!$H$57="شهري",المدخلات!$J$57,""))),"")</f>
        <v/>
      </c>
      <c r="N175" s="6" t="str">
        <f>IF(B175&lt;&gt;"",IF(AND(المدخلات!$H$58="سنوي",MOD(B175,12)=0),المدخلات!$J$58,IF(AND(المدخلات!$H$58="القسط (الدفعة) الاول",B175=1),المدخلات!$J$58,IF(المدخلات!$H$58="شهري",المدخلات!$J$58,IF(AND(المدخلات!$H$58="End of the loan",B175=المدخلات!$E$58),المدخلات!$J$58,"")))),"")</f>
        <v/>
      </c>
      <c r="O175" s="6">
        <f t="shared" si="20"/>
        <v>208.33333333333334</v>
      </c>
      <c r="P175" s="4">
        <f t="shared" si="21"/>
        <v>10525.868335503435</v>
      </c>
      <c r="T175" s="9">
        <f t="shared" si="22"/>
        <v>50099</v>
      </c>
      <c r="U175" s="5">
        <f t="shared" si="23"/>
        <v>10525.87</v>
      </c>
    </row>
    <row r="176" spans="2:21" x14ac:dyDescent="0.2">
      <c r="B176" s="16">
        <f t="shared" si="26"/>
        <v>159</v>
      </c>
      <c r="C176" s="9">
        <f t="shared" si="27"/>
        <v>50129</v>
      </c>
      <c r="D176" s="6">
        <f>IFERROR((PPMT(المدخلات!$E$55/12,B176,$C$6,المدخلات!$E$54,-المدخلات!$E$65,0))," ")</f>
        <v>-6146.26410710657</v>
      </c>
      <c r="E176" s="6">
        <f>IFERROR(((IPMT(المدخلات!$E$55/12,B176,$C$6,المدخلات!$E$54,-المدخلات!$E$65,0)))," ")</f>
        <v>-4171.2708950635315</v>
      </c>
      <c r="F176" s="6">
        <f t="shared" si="29"/>
        <v>-696050.79609324492</v>
      </c>
      <c r="G176" s="6">
        <f t="shared" si="28"/>
        <v>-944437.26925180107</v>
      </c>
      <c r="H176" s="6">
        <f t="shared" si="24"/>
        <v>-10317.535002170102</v>
      </c>
      <c r="I176" s="6">
        <f t="shared" si="25"/>
        <v>903949.20390675508</v>
      </c>
      <c r="J176" s="6" t="str">
        <f>IF(B176&lt;&gt;"",IF(AND(المدخلات!$H$54="سنوي",MOD(B176,12)=0),المدخلات!$J$54,IF(AND(المدخلات!$H$54="القسط (الدفعة) الاول",B176=1),المدخلات!$J$54,IF(المدخلات!$H$54="شهري",المدخلات!$J$54,""))),"")</f>
        <v/>
      </c>
      <c r="K176" s="6" t="str">
        <f>IF(B176&lt;&gt;"",IF(AND(المدخلات!$H$55="سنوي",MOD(B176,12)=0),المدخلات!$J$55,IF(AND(المدخلات!$H$55="القسط (الدفعة) الاول",B176=1),المدخلات!$J$55,IF(المدخلات!$H$55="شهري",المدخلات!$J$55,""))),"")</f>
        <v/>
      </c>
      <c r="L176" s="6">
        <f>IF(B176&lt;&gt;"",IF(AND(المدخلات!$H$56="سنوي",MOD(B176,12)=0),المدخلات!$J$56,IF(AND(المدخلات!$H$56="القسط (الدفعة) الاول",B176=1),المدخلات!$J$56,IF(المدخلات!$H$56="شهري",المدخلات!$J$56,""))),"")</f>
        <v>208.33333333333334</v>
      </c>
      <c r="M176" s="6" t="str">
        <f>IF(B176&lt;&gt;"",IF(AND(المدخلات!$H$57="سنوي",MOD(B176,12)=0),المدخلات!$J$57,IF(AND(المدخلات!$H$57="القسط (الدفعة) الاول",B176=1),المدخلات!$J$57,IF(المدخلات!$H$57="شهري",المدخلات!$J$57,""))),"")</f>
        <v/>
      </c>
      <c r="N176" s="6" t="str">
        <f>IF(B176&lt;&gt;"",IF(AND(المدخلات!$H$58="سنوي",MOD(B176,12)=0),المدخلات!$J$58,IF(AND(المدخلات!$H$58="القسط (الدفعة) الاول",B176=1),المدخلات!$J$58,IF(المدخلات!$H$58="شهري",المدخلات!$J$58,IF(AND(المدخلات!$H$58="End of the loan",B176=المدخلات!$E$58),المدخلات!$J$58,"")))),"")</f>
        <v/>
      </c>
      <c r="O176" s="6">
        <f t="shared" si="20"/>
        <v>208.33333333333334</v>
      </c>
      <c r="P176" s="4">
        <f t="shared" si="21"/>
        <v>10525.868335503435</v>
      </c>
      <c r="T176" s="9">
        <f t="shared" si="22"/>
        <v>50129</v>
      </c>
      <c r="U176" s="5">
        <f t="shared" si="23"/>
        <v>10525.87</v>
      </c>
    </row>
    <row r="177" spans="2:21" x14ac:dyDescent="0.2">
      <c r="B177" s="16">
        <f t="shared" si="26"/>
        <v>160</v>
      </c>
      <c r="C177" s="9">
        <f t="shared" si="27"/>
        <v>50160</v>
      </c>
      <c r="D177" s="6">
        <f>IFERROR((PPMT(المدخلات!$E$55/12,B177,$C$6,المدخلات!$E$54,-المدخلات!$E$65,0))," ")</f>
        <v>-6174.4344842641412</v>
      </c>
      <c r="E177" s="6">
        <f>IFERROR(((IPMT(المدخلات!$E$55/12,B177,$C$6,المدخلات!$E$54,-المدخلات!$E$65,0)))," ")</f>
        <v>-4143.1005179059594</v>
      </c>
      <c r="F177" s="6">
        <f t="shared" si="29"/>
        <v>-702225.23057750904</v>
      </c>
      <c r="G177" s="6">
        <f t="shared" si="28"/>
        <v>-948580.36976970709</v>
      </c>
      <c r="H177" s="6">
        <f t="shared" si="24"/>
        <v>-10317.535002170102</v>
      </c>
      <c r="I177" s="6">
        <f t="shared" si="25"/>
        <v>897774.76942249096</v>
      </c>
      <c r="J177" s="6" t="str">
        <f>IF(B177&lt;&gt;"",IF(AND(المدخلات!$H$54="سنوي",MOD(B177,12)=0),المدخلات!$J$54,IF(AND(المدخلات!$H$54="القسط (الدفعة) الاول",B177=1),المدخلات!$J$54,IF(المدخلات!$H$54="شهري",المدخلات!$J$54,""))),"")</f>
        <v/>
      </c>
      <c r="K177" s="6" t="str">
        <f>IF(B177&lt;&gt;"",IF(AND(المدخلات!$H$55="سنوي",MOD(B177,12)=0),المدخلات!$J$55,IF(AND(المدخلات!$H$55="القسط (الدفعة) الاول",B177=1),المدخلات!$J$55,IF(المدخلات!$H$55="شهري",المدخلات!$J$55,""))),"")</f>
        <v/>
      </c>
      <c r="L177" s="6">
        <f>IF(B177&lt;&gt;"",IF(AND(المدخلات!$H$56="سنوي",MOD(B177,12)=0),المدخلات!$J$56,IF(AND(المدخلات!$H$56="القسط (الدفعة) الاول",B177=1),المدخلات!$J$56,IF(المدخلات!$H$56="شهري",المدخلات!$J$56,""))),"")</f>
        <v>208.33333333333334</v>
      </c>
      <c r="M177" s="6" t="str">
        <f>IF(B177&lt;&gt;"",IF(AND(المدخلات!$H$57="سنوي",MOD(B177,12)=0),المدخلات!$J$57,IF(AND(المدخلات!$H$57="القسط (الدفعة) الاول",B177=1),المدخلات!$J$57,IF(المدخلات!$H$57="شهري",المدخلات!$J$57,""))),"")</f>
        <v/>
      </c>
      <c r="N177" s="6" t="str">
        <f>IF(B177&lt;&gt;"",IF(AND(المدخلات!$H$58="سنوي",MOD(B177,12)=0),المدخلات!$J$58,IF(AND(المدخلات!$H$58="القسط (الدفعة) الاول",B177=1),المدخلات!$J$58,IF(المدخلات!$H$58="شهري",المدخلات!$J$58,IF(AND(المدخلات!$H$58="End of the loan",B177=المدخلات!$E$58),المدخلات!$J$58,"")))),"")</f>
        <v/>
      </c>
      <c r="O177" s="6">
        <f t="shared" si="20"/>
        <v>208.33333333333334</v>
      </c>
      <c r="P177" s="4">
        <f t="shared" si="21"/>
        <v>10525.868335503435</v>
      </c>
      <c r="T177" s="9">
        <f t="shared" si="22"/>
        <v>50160</v>
      </c>
      <c r="U177" s="5">
        <f t="shared" si="23"/>
        <v>10525.87</v>
      </c>
    </row>
    <row r="178" spans="2:21" x14ac:dyDescent="0.2">
      <c r="B178" s="16">
        <f t="shared" si="26"/>
        <v>161</v>
      </c>
      <c r="C178" s="9">
        <f t="shared" si="27"/>
        <v>50190</v>
      </c>
      <c r="D178" s="6">
        <f>IFERROR((PPMT(المدخلات!$E$55/12,B178,$C$6,المدخلات!$E$54,-المدخلات!$E$65,0))," ")</f>
        <v>-6202.7339756503516</v>
      </c>
      <c r="E178" s="6">
        <f>IFERROR(((IPMT(المدخلات!$E$55/12,B178,$C$6,المدخلات!$E$54,-المدخلات!$E$65,0)))," ")</f>
        <v>-4114.801026519749</v>
      </c>
      <c r="F178" s="6">
        <f t="shared" si="29"/>
        <v>-708427.96455315943</v>
      </c>
      <c r="G178" s="6">
        <f t="shared" si="28"/>
        <v>-952695.17079622683</v>
      </c>
      <c r="H178" s="6">
        <f t="shared" si="24"/>
        <v>-10317.535002170102</v>
      </c>
      <c r="I178" s="6">
        <f t="shared" si="25"/>
        <v>891572.03544684057</v>
      </c>
      <c r="J178" s="6" t="str">
        <f>IF(B178&lt;&gt;"",IF(AND(المدخلات!$H$54="سنوي",MOD(B178,12)=0),المدخلات!$J$54,IF(AND(المدخلات!$H$54="القسط (الدفعة) الاول",B178=1),المدخلات!$J$54,IF(المدخلات!$H$54="شهري",المدخلات!$J$54,""))),"")</f>
        <v/>
      </c>
      <c r="K178" s="6" t="str">
        <f>IF(B178&lt;&gt;"",IF(AND(المدخلات!$H$55="سنوي",MOD(B178,12)=0),المدخلات!$J$55,IF(AND(المدخلات!$H$55="القسط (الدفعة) الاول",B178=1),المدخلات!$J$55,IF(المدخلات!$H$55="شهري",المدخلات!$J$55,""))),"")</f>
        <v/>
      </c>
      <c r="L178" s="6">
        <f>IF(B178&lt;&gt;"",IF(AND(المدخلات!$H$56="سنوي",MOD(B178,12)=0),المدخلات!$J$56,IF(AND(المدخلات!$H$56="القسط (الدفعة) الاول",B178=1),المدخلات!$J$56,IF(المدخلات!$H$56="شهري",المدخلات!$J$56,""))),"")</f>
        <v>208.33333333333334</v>
      </c>
      <c r="M178" s="6" t="str">
        <f>IF(B178&lt;&gt;"",IF(AND(المدخلات!$H$57="سنوي",MOD(B178,12)=0),المدخلات!$J$57,IF(AND(المدخلات!$H$57="القسط (الدفعة) الاول",B178=1),المدخلات!$J$57,IF(المدخلات!$H$57="شهري",المدخلات!$J$57,""))),"")</f>
        <v/>
      </c>
      <c r="N178" s="6" t="str">
        <f>IF(B178&lt;&gt;"",IF(AND(المدخلات!$H$58="سنوي",MOD(B178,12)=0),المدخلات!$J$58,IF(AND(المدخلات!$H$58="القسط (الدفعة) الاول",B178=1),المدخلات!$J$58,IF(المدخلات!$H$58="شهري",المدخلات!$J$58,IF(AND(المدخلات!$H$58="End of the loan",B178=المدخلات!$E$58),المدخلات!$J$58,"")))),"")</f>
        <v/>
      </c>
      <c r="O178" s="6">
        <f t="shared" si="20"/>
        <v>208.33333333333334</v>
      </c>
      <c r="P178" s="4">
        <f t="shared" si="21"/>
        <v>10525.868335503435</v>
      </c>
      <c r="T178" s="9">
        <f t="shared" si="22"/>
        <v>50190</v>
      </c>
      <c r="U178" s="5">
        <f t="shared" si="23"/>
        <v>10525.87</v>
      </c>
    </row>
    <row r="179" spans="2:21" x14ac:dyDescent="0.2">
      <c r="B179" s="16">
        <f t="shared" si="26"/>
        <v>162</v>
      </c>
      <c r="C179" s="9">
        <f t="shared" si="27"/>
        <v>50221</v>
      </c>
      <c r="D179" s="6">
        <f>IFERROR((PPMT(المدخلات!$E$55/12,B179,$C$6,المدخلات!$E$54,-المدخلات!$E$65,0))," ")</f>
        <v>-6231.1631730387498</v>
      </c>
      <c r="E179" s="6">
        <f>IFERROR(((IPMT(المدخلات!$E$55/12,B179,$C$6,المدخلات!$E$54,-المدخلات!$E$65,0)))," ")</f>
        <v>-4086.3718291313517</v>
      </c>
      <c r="F179" s="6">
        <f t="shared" si="29"/>
        <v>-714659.12772619817</v>
      </c>
      <c r="G179" s="6">
        <f t="shared" si="28"/>
        <v>-956781.54262535821</v>
      </c>
      <c r="H179" s="6">
        <f t="shared" si="24"/>
        <v>-10317.535002170102</v>
      </c>
      <c r="I179" s="6">
        <f t="shared" si="25"/>
        <v>885340.87227380183</v>
      </c>
      <c r="J179" s="6" t="str">
        <f>IF(B179&lt;&gt;"",IF(AND(المدخلات!$H$54="سنوي",MOD(B179,12)=0),المدخلات!$J$54,IF(AND(المدخلات!$H$54="القسط (الدفعة) الاول",B179=1),المدخلات!$J$54,IF(المدخلات!$H$54="شهري",المدخلات!$J$54,""))),"")</f>
        <v/>
      </c>
      <c r="K179" s="6" t="str">
        <f>IF(B179&lt;&gt;"",IF(AND(المدخلات!$H$55="سنوي",MOD(B179,12)=0),المدخلات!$J$55,IF(AND(المدخلات!$H$55="القسط (الدفعة) الاول",B179=1),المدخلات!$J$55,IF(المدخلات!$H$55="شهري",المدخلات!$J$55,""))),"")</f>
        <v/>
      </c>
      <c r="L179" s="6">
        <f>IF(B179&lt;&gt;"",IF(AND(المدخلات!$H$56="سنوي",MOD(B179,12)=0),المدخلات!$J$56,IF(AND(المدخلات!$H$56="القسط (الدفعة) الاول",B179=1),المدخلات!$J$56,IF(المدخلات!$H$56="شهري",المدخلات!$J$56,""))),"")</f>
        <v>208.33333333333334</v>
      </c>
      <c r="M179" s="6" t="str">
        <f>IF(B179&lt;&gt;"",IF(AND(المدخلات!$H$57="سنوي",MOD(B179,12)=0),المدخلات!$J$57,IF(AND(المدخلات!$H$57="القسط (الدفعة) الاول",B179=1),المدخلات!$J$57,IF(المدخلات!$H$57="شهري",المدخلات!$J$57,""))),"")</f>
        <v/>
      </c>
      <c r="N179" s="6" t="str">
        <f>IF(B179&lt;&gt;"",IF(AND(المدخلات!$H$58="سنوي",MOD(B179,12)=0),المدخلات!$J$58,IF(AND(المدخلات!$H$58="القسط (الدفعة) الاول",B179=1),المدخلات!$J$58,IF(المدخلات!$H$58="شهري",المدخلات!$J$58,IF(AND(المدخلات!$H$58="End of the loan",B179=المدخلات!$E$58),المدخلات!$J$58,"")))),"")</f>
        <v/>
      </c>
      <c r="O179" s="6">
        <f t="shared" si="20"/>
        <v>208.33333333333334</v>
      </c>
      <c r="P179" s="4">
        <f t="shared" si="21"/>
        <v>10525.868335503435</v>
      </c>
      <c r="T179" s="9">
        <f t="shared" si="22"/>
        <v>50221</v>
      </c>
      <c r="U179" s="5">
        <f t="shared" si="23"/>
        <v>10525.87</v>
      </c>
    </row>
    <row r="180" spans="2:21" x14ac:dyDescent="0.2">
      <c r="B180" s="16">
        <f t="shared" si="26"/>
        <v>163</v>
      </c>
      <c r="C180" s="9">
        <f t="shared" si="27"/>
        <v>50251</v>
      </c>
      <c r="D180" s="6">
        <f>IFERROR((PPMT(المدخلات!$E$55/12,B180,$C$6,المدخلات!$E$54,-المدخلات!$E$65,0))," ")</f>
        <v>-6259.7226709151773</v>
      </c>
      <c r="E180" s="6">
        <f>IFERROR(((IPMT(المدخلات!$E$55/12,B180,$C$6,المدخلات!$E$54,-المدخلات!$E$65,0)))," ")</f>
        <v>-4057.8123312549242</v>
      </c>
      <c r="F180" s="6">
        <f t="shared" si="29"/>
        <v>-720918.85039711336</v>
      </c>
      <c r="G180" s="6">
        <f t="shared" si="28"/>
        <v>-960839.35495661316</v>
      </c>
      <c r="H180" s="6">
        <f t="shared" si="24"/>
        <v>-10317.535002170102</v>
      </c>
      <c r="I180" s="6">
        <f t="shared" si="25"/>
        <v>879081.14960288664</v>
      </c>
      <c r="J180" s="6" t="str">
        <f>IF(B180&lt;&gt;"",IF(AND(المدخلات!$H$54="سنوي",MOD(B180,12)=0),المدخلات!$J$54,IF(AND(المدخلات!$H$54="القسط (الدفعة) الاول",B180=1),المدخلات!$J$54,IF(المدخلات!$H$54="شهري",المدخلات!$J$54,""))),"")</f>
        <v/>
      </c>
      <c r="K180" s="6" t="str">
        <f>IF(B180&lt;&gt;"",IF(AND(المدخلات!$H$55="سنوي",MOD(B180,12)=0),المدخلات!$J$55,IF(AND(المدخلات!$H$55="القسط (الدفعة) الاول",B180=1),المدخلات!$J$55,IF(المدخلات!$H$55="شهري",المدخلات!$J$55,""))),"")</f>
        <v/>
      </c>
      <c r="L180" s="6">
        <f>IF(B180&lt;&gt;"",IF(AND(المدخلات!$H$56="سنوي",MOD(B180,12)=0),المدخلات!$J$56,IF(AND(المدخلات!$H$56="القسط (الدفعة) الاول",B180=1),المدخلات!$J$56,IF(المدخلات!$H$56="شهري",المدخلات!$J$56,""))),"")</f>
        <v>208.33333333333334</v>
      </c>
      <c r="M180" s="6" t="str">
        <f>IF(B180&lt;&gt;"",IF(AND(المدخلات!$H$57="سنوي",MOD(B180,12)=0),المدخلات!$J$57,IF(AND(المدخلات!$H$57="القسط (الدفعة) الاول",B180=1),المدخلات!$J$57,IF(المدخلات!$H$57="شهري",المدخلات!$J$57,""))),"")</f>
        <v/>
      </c>
      <c r="N180" s="6" t="str">
        <f>IF(B180&lt;&gt;"",IF(AND(المدخلات!$H$58="سنوي",MOD(B180,12)=0),المدخلات!$J$58,IF(AND(المدخلات!$H$58="القسط (الدفعة) الاول",B180=1),المدخلات!$J$58,IF(المدخلات!$H$58="شهري",المدخلات!$J$58,IF(AND(المدخلات!$H$58="End of the loan",B180=المدخلات!$E$58),المدخلات!$J$58,"")))),"")</f>
        <v/>
      </c>
      <c r="O180" s="6">
        <f t="shared" si="20"/>
        <v>208.33333333333334</v>
      </c>
      <c r="P180" s="4">
        <f t="shared" si="21"/>
        <v>10525.868335503435</v>
      </c>
      <c r="T180" s="9">
        <f t="shared" si="22"/>
        <v>50251</v>
      </c>
      <c r="U180" s="5">
        <f t="shared" si="23"/>
        <v>10525.87</v>
      </c>
    </row>
    <row r="181" spans="2:21" x14ac:dyDescent="0.2">
      <c r="B181" s="16">
        <f t="shared" si="26"/>
        <v>164</v>
      </c>
      <c r="C181" s="9">
        <f t="shared" si="27"/>
        <v>50282</v>
      </c>
      <c r="D181" s="6">
        <f>IFERROR((PPMT(المدخلات!$E$55/12,B181,$C$6,المدخلات!$E$54,-المدخلات!$E$65,0))," ")</f>
        <v>-6288.413066490205</v>
      </c>
      <c r="E181" s="6">
        <f>IFERROR(((IPMT(المدخلات!$E$55/12,B181,$C$6,المدخلات!$E$54,-المدخلات!$E$65,0)))," ")</f>
        <v>-4029.1219356798961</v>
      </c>
      <c r="F181" s="6">
        <f t="shared" si="29"/>
        <v>-727207.26346360357</v>
      </c>
      <c r="G181" s="6">
        <f t="shared" si="28"/>
        <v>-964868.47689229308</v>
      </c>
      <c r="H181" s="6">
        <f t="shared" si="24"/>
        <v>-10317.535002170102</v>
      </c>
      <c r="I181" s="6">
        <f t="shared" si="25"/>
        <v>872792.73653639643</v>
      </c>
      <c r="J181" s="6" t="str">
        <f>IF(B181&lt;&gt;"",IF(AND(المدخلات!$H$54="سنوي",MOD(B181,12)=0),المدخلات!$J$54,IF(AND(المدخلات!$H$54="القسط (الدفعة) الاول",B181=1),المدخلات!$J$54,IF(المدخلات!$H$54="شهري",المدخلات!$J$54,""))),"")</f>
        <v/>
      </c>
      <c r="K181" s="6" t="str">
        <f>IF(B181&lt;&gt;"",IF(AND(المدخلات!$H$55="سنوي",MOD(B181,12)=0),المدخلات!$J$55,IF(AND(المدخلات!$H$55="القسط (الدفعة) الاول",B181=1),المدخلات!$J$55,IF(المدخلات!$H$55="شهري",المدخلات!$J$55,""))),"")</f>
        <v/>
      </c>
      <c r="L181" s="6">
        <f>IF(B181&lt;&gt;"",IF(AND(المدخلات!$H$56="سنوي",MOD(B181,12)=0),المدخلات!$J$56,IF(AND(المدخلات!$H$56="القسط (الدفعة) الاول",B181=1),المدخلات!$J$56,IF(المدخلات!$H$56="شهري",المدخلات!$J$56,""))),"")</f>
        <v>208.33333333333334</v>
      </c>
      <c r="M181" s="6" t="str">
        <f>IF(B181&lt;&gt;"",IF(AND(المدخلات!$H$57="سنوي",MOD(B181,12)=0),المدخلات!$J$57,IF(AND(المدخلات!$H$57="القسط (الدفعة) الاول",B181=1),المدخلات!$J$57,IF(المدخلات!$H$57="شهري",المدخلات!$J$57,""))),"")</f>
        <v/>
      </c>
      <c r="N181" s="6" t="str">
        <f>IF(B181&lt;&gt;"",IF(AND(المدخلات!$H$58="سنوي",MOD(B181,12)=0),المدخلات!$J$58,IF(AND(المدخلات!$H$58="القسط (الدفعة) الاول",B181=1),المدخلات!$J$58,IF(المدخلات!$H$58="شهري",المدخلات!$J$58,IF(AND(المدخلات!$H$58="End of the loan",B181=المدخلات!$E$58),المدخلات!$J$58,"")))),"")</f>
        <v/>
      </c>
      <c r="O181" s="6">
        <f t="shared" si="20"/>
        <v>208.33333333333334</v>
      </c>
      <c r="P181" s="4">
        <f t="shared" si="21"/>
        <v>10525.868335503435</v>
      </c>
      <c r="T181" s="9">
        <f t="shared" si="22"/>
        <v>50282</v>
      </c>
      <c r="U181" s="5">
        <f t="shared" si="23"/>
        <v>10525.87</v>
      </c>
    </row>
    <row r="182" spans="2:21" x14ac:dyDescent="0.2">
      <c r="B182" s="16">
        <f t="shared" si="26"/>
        <v>165</v>
      </c>
      <c r="C182" s="9">
        <f t="shared" si="27"/>
        <v>50313</v>
      </c>
      <c r="D182" s="6">
        <f>IFERROR((PPMT(المدخلات!$E$55/12,B182,$C$6,المدخلات!$E$54,-المدخلات!$E$65,0))," ")</f>
        <v>-6317.234959711619</v>
      </c>
      <c r="E182" s="6">
        <f>IFERROR(((IPMT(المدخلات!$E$55/12,B182,$C$6,المدخلات!$E$54,-المدخلات!$E$65,0)))," ")</f>
        <v>-4000.3000424584825</v>
      </c>
      <c r="F182" s="6">
        <f t="shared" si="29"/>
        <v>-733524.49842331524</v>
      </c>
      <c r="G182" s="6">
        <f t="shared" si="28"/>
        <v>-968868.77693475154</v>
      </c>
      <c r="H182" s="6">
        <f t="shared" si="24"/>
        <v>-10317.535002170102</v>
      </c>
      <c r="I182" s="6">
        <f t="shared" si="25"/>
        <v>866475.50157668476</v>
      </c>
      <c r="J182" s="6" t="str">
        <f>IF(B182&lt;&gt;"",IF(AND(المدخلات!$H$54="سنوي",MOD(B182,12)=0),المدخلات!$J$54,IF(AND(المدخلات!$H$54="القسط (الدفعة) الاول",B182=1),المدخلات!$J$54,IF(المدخلات!$H$54="شهري",المدخلات!$J$54,""))),"")</f>
        <v/>
      </c>
      <c r="K182" s="6" t="str">
        <f>IF(B182&lt;&gt;"",IF(AND(المدخلات!$H$55="سنوي",MOD(B182,12)=0),المدخلات!$J$55,IF(AND(المدخلات!$H$55="القسط (الدفعة) الاول",B182=1),المدخلات!$J$55,IF(المدخلات!$H$55="شهري",المدخلات!$J$55,""))),"")</f>
        <v/>
      </c>
      <c r="L182" s="6">
        <f>IF(B182&lt;&gt;"",IF(AND(المدخلات!$H$56="سنوي",MOD(B182,12)=0),المدخلات!$J$56,IF(AND(المدخلات!$H$56="القسط (الدفعة) الاول",B182=1),المدخلات!$J$56,IF(المدخلات!$H$56="شهري",المدخلات!$J$56,""))),"")</f>
        <v>208.33333333333334</v>
      </c>
      <c r="M182" s="6" t="str">
        <f>IF(B182&lt;&gt;"",IF(AND(المدخلات!$H$57="سنوي",MOD(B182,12)=0),المدخلات!$J$57,IF(AND(المدخلات!$H$57="القسط (الدفعة) الاول",B182=1),المدخلات!$J$57,IF(المدخلات!$H$57="شهري",المدخلات!$J$57,""))),"")</f>
        <v/>
      </c>
      <c r="N182" s="6" t="str">
        <f>IF(B182&lt;&gt;"",IF(AND(المدخلات!$H$58="سنوي",MOD(B182,12)=0),المدخلات!$J$58,IF(AND(المدخلات!$H$58="القسط (الدفعة) الاول",B182=1),المدخلات!$J$58,IF(المدخلات!$H$58="شهري",المدخلات!$J$58,IF(AND(المدخلات!$H$58="End of the loan",B182=المدخلات!$E$58),المدخلات!$J$58,"")))),"")</f>
        <v/>
      </c>
      <c r="O182" s="6">
        <f t="shared" si="20"/>
        <v>208.33333333333334</v>
      </c>
      <c r="P182" s="4">
        <f t="shared" si="21"/>
        <v>10525.868335503435</v>
      </c>
      <c r="T182" s="9">
        <f t="shared" si="22"/>
        <v>50313</v>
      </c>
      <c r="U182" s="5">
        <f t="shared" si="23"/>
        <v>10525.87</v>
      </c>
    </row>
    <row r="183" spans="2:21" x14ac:dyDescent="0.2">
      <c r="B183" s="16">
        <f t="shared" si="26"/>
        <v>166</v>
      </c>
      <c r="C183" s="9">
        <f t="shared" si="27"/>
        <v>50343</v>
      </c>
      <c r="D183" s="6">
        <f>IFERROR((PPMT(المدخلات!$E$55/12,B183,$C$6,المدخلات!$E$54,-المدخلات!$E$65,0))," ")</f>
        <v>-6346.1889532769646</v>
      </c>
      <c r="E183" s="6">
        <f>IFERROR(((IPMT(المدخلات!$E$55/12,B183,$C$6,المدخلات!$E$54,-المدخلات!$E$65,0)))," ")</f>
        <v>-3971.3460488931378</v>
      </c>
      <c r="F183" s="6">
        <f t="shared" si="29"/>
        <v>-739870.68737659219</v>
      </c>
      <c r="G183" s="6">
        <f t="shared" si="28"/>
        <v>-972840.12298364472</v>
      </c>
      <c r="H183" s="6">
        <f t="shared" si="24"/>
        <v>-10317.535002170102</v>
      </c>
      <c r="I183" s="6">
        <f t="shared" si="25"/>
        <v>860129.31262340781</v>
      </c>
      <c r="J183" s="6" t="str">
        <f>IF(B183&lt;&gt;"",IF(AND(المدخلات!$H$54="سنوي",MOD(B183,12)=0),المدخلات!$J$54,IF(AND(المدخلات!$H$54="القسط (الدفعة) الاول",B183=1),المدخلات!$J$54,IF(المدخلات!$H$54="شهري",المدخلات!$J$54,""))),"")</f>
        <v/>
      </c>
      <c r="K183" s="6" t="str">
        <f>IF(B183&lt;&gt;"",IF(AND(المدخلات!$H$55="سنوي",MOD(B183,12)=0),المدخلات!$J$55,IF(AND(المدخلات!$H$55="القسط (الدفعة) الاول",B183=1),المدخلات!$J$55,IF(المدخلات!$H$55="شهري",المدخلات!$J$55,""))),"")</f>
        <v/>
      </c>
      <c r="L183" s="6">
        <f>IF(B183&lt;&gt;"",IF(AND(المدخلات!$H$56="سنوي",MOD(B183,12)=0),المدخلات!$J$56,IF(AND(المدخلات!$H$56="القسط (الدفعة) الاول",B183=1),المدخلات!$J$56,IF(المدخلات!$H$56="شهري",المدخلات!$J$56,""))),"")</f>
        <v>208.33333333333334</v>
      </c>
      <c r="M183" s="6" t="str">
        <f>IF(B183&lt;&gt;"",IF(AND(المدخلات!$H$57="سنوي",MOD(B183,12)=0),المدخلات!$J$57,IF(AND(المدخلات!$H$57="القسط (الدفعة) الاول",B183=1),المدخلات!$J$57,IF(المدخلات!$H$57="شهري",المدخلات!$J$57,""))),"")</f>
        <v/>
      </c>
      <c r="N183" s="6" t="str">
        <f>IF(B183&lt;&gt;"",IF(AND(المدخلات!$H$58="سنوي",MOD(B183,12)=0),المدخلات!$J$58,IF(AND(المدخلات!$H$58="القسط (الدفعة) الاول",B183=1),المدخلات!$J$58,IF(المدخلات!$H$58="شهري",المدخلات!$J$58,IF(AND(المدخلات!$H$58="End of the loan",B183=المدخلات!$E$58),المدخلات!$J$58,"")))),"")</f>
        <v/>
      </c>
      <c r="O183" s="6">
        <f t="shared" si="20"/>
        <v>208.33333333333334</v>
      </c>
      <c r="P183" s="4">
        <f t="shared" si="21"/>
        <v>10525.868335503435</v>
      </c>
      <c r="T183" s="9">
        <f t="shared" si="22"/>
        <v>50343</v>
      </c>
      <c r="U183" s="5">
        <f t="shared" si="23"/>
        <v>10525.87</v>
      </c>
    </row>
    <row r="184" spans="2:21" x14ac:dyDescent="0.2">
      <c r="B184" s="16">
        <f t="shared" si="26"/>
        <v>167</v>
      </c>
      <c r="C184" s="9">
        <f t="shared" si="27"/>
        <v>50374</v>
      </c>
      <c r="D184" s="6">
        <f>IFERROR((PPMT(المدخلات!$E$55/12,B184,$C$6,المدخلات!$E$54,-المدخلات!$E$65,0))," ")</f>
        <v>-6375.2756526461499</v>
      </c>
      <c r="E184" s="6">
        <f>IFERROR(((IPMT(المدخلات!$E$55/12,B184,$C$6,المدخلات!$E$54,-المدخلات!$E$65,0)))," ")</f>
        <v>-3942.2593495239512</v>
      </c>
      <c r="F184" s="6">
        <f t="shared" si="29"/>
        <v>-746245.9630292384</v>
      </c>
      <c r="G184" s="6">
        <f t="shared" si="28"/>
        <v>-976782.38233316864</v>
      </c>
      <c r="H184" s="6">
        <f t="shared" si="24"/>
        <v>-10317.535002170102</v>
      </c>
      <c r="I184" s="6">
        <f t="shared" si="25"/>
        <v>853754.0369707616</v>
      </c>
      <c r="J184" s="6" t="str">
        <f>IF(B184&lt;&gt;"",IF(AND(المدخلات!$H$54="سنوي",MOD(B184,12)=0),المدخلات!$J$54,IF(AND(المدخلات!$H$54="القسط (الدفعة) الاول",B184=1),المدخلات!$J$54,IF(المدخلات!$H$54="شهري",المدخلات!$J$54,""))),"")</f>
        <v/>
      </c>
      <c r="K184" s="6" t="str">
        <f>IF(B184&lt;&gt;"",IF(AND(المدخلات!$H$55="سنوي",MOD(B184,12)=0),المدخلات!$J$55,IF(AND(المدخلات!$H$55="القسط (الدفعة) الاول",B184=1),المدخلات!$J$55,IF(المدخلات!$H$55="شهري",المدخلات!$J$55,""))),"")</f>
        <v/>
      </c>
      <c r="L184" s="6">
        <f>IF(B184&lt;&gt;"",IF(AND(المدخلات!$H$56="سنوي",MOD(B184,12)=0),المدخلات!$J$56,IF(AND(المدخلات!$H$56="القسط (الدفعة) الاول",B184=1),المدخلات!$J$56,IF(المدخلات!$H$56="شهري",المدخلات!$J$56,""))),"")</f>
        <v>208.33333333333334</v>
      </c>
      <c r="M184" s="6" t="str">
        <f>IF(B184&lt;&gt;"",IF(AND(المدخلات!$H$57="سنوي",MOD(B184,12)=0),المدخلات!$J$57,IF(AND(المدخلات!$H$57="القسط (الدفعة) الاول",B184=1),المدخلات!$J$57,IF(المدخلات!$H$57="شهري",المدخلات!$J$57,""))),"")</f>
        <v/>
      </c>
      <c r="N184" s="6" t="str">
        <f>IF(B184&lt;&gt;"",IF(AND(المدخلات!$H$58="سنوي",MOD(B184,12)=0),المدخلات!$J$58,IF(AND(المدخلات!$H$58="القسط (الدفعة) الاول",B184=1),المدخلات!$J$58,IF(المدخلات!$H$58="شهري",المدخلات!$J$58,IF(AND(المدخلات!$H$58="End of the loan",B184=المدخلات!$E$58),المدخلات!$J$58,"")))),"")</f>
        <v/>
      </c>
      <c r="O184" s="6">
        <f t="shared" si="20"/>
        <v>208.33333333333334</v>
      </c>
      <c r="P184" s="4">
        <f t="shared" si="21"/>
        <v>10525.868335503435</v>
      </c>
      <c r="T184" s="9">
        <f t="shared" si="22"/>
        <v>50374</v>
      </c>
      <c r="U184" s="5">
        <f t="shared" si="23"/>
        <v>10525.87</v>
      </c>
    </row>
    <row r="185" spans="2:21" x14ac:dyDescent="0.2">
      <c r="B185" s="16">
        <f t="shared" si="26"/>
        <v>168</v>
      </c>
      <c r="C185" s="9">
        <f t="shared" si="27"/>
        <v>50404</v>
      </c>
      <c r="D185" s="6">
        <f>IFERROR((PPMT(المدخلات!$E$55/12,B185,$C$6,المدخلات!$E$54,-المدخلات!$E$65,0))," ")</f>
        <v>-6404.495666054112</v>
      </c>
      <c r="E185" s="6">
        <f>IFERROR(((IPMT(المدخلات!$E$55/12,B185,$C$6,المدخلات!$E$54,-المدخلات!$E$65,0)))," ")</f>
        <v>-3913.03933611599</v>
      </c>
      <c r="F185" s="6">
        <f t="shared" si="29"/>
        <v>-752650.45869529247</v>
      </c>
      <c r="G185" s="6">
        <f t="shared" si="28"/>
        <v>-980695.42166928458</v>
      </c>
      <c r="H185" s="6">
        <f t="shared" si="24"/>
        <v>-10317.535002170102</v>
      </c>
      <c r="I185" s="6">
        <f t="shared" si="25"/>
        <v>847349.54130470753</v>
      </c>
      <c r="J185" s="6" t="str">
        <f>IF(B185&lt;&gt;"",IF(AND(المدخلات!$H$54="سنوي",MOD(B185,12)=0),المدخلات!$J$54,IF(AND(المدخلات!$H$54="القسط (الدفعة) الاول",B185=1),المدخلات!$J$54,IF(المدخلات!$H$54="شهري",المدخلات!$J$54,""))),"")</f>
        <v/>
      </c>
      <c r="K185" s="6" t="str">
        <f>IF(B185&lt;&gt;"",IF(AND(المدخلات!$H$55="سنوي",MOD(B185,12)=0),المدخلات!$J$55,IF(AND(المدخلات!$H$55="القسط (الدفعة) الاول",B185=1),المدخلات!$J$55,IF(المدخلات!$H$55="شهري",المدخلات!$J$55,""))),"")</f>
        <v/>
      </c>
      <c r="L185" s="6">
        <f>IF(B185&lt;&gt;"",IF(AND(المدخلات!$H$56="سنوي",MOD(B185,12)=0),المدخلات!$J$56,IF(AND(المدخلات!$H$56="القسط (الدفعة) الاول",B185=1),المدخلات!$J$56,IF(المدخلات!$H$56="شهري",المدخلات!$J$56,""))),"")</f>
        <v>208.33333333333334</v>
      </c>
      <c r="M185" s="6" t="str">
        <f>IF(B185&lt;&gt;"",IF(AND(المدخلات!$H$57="سنوي",MOD(B185,12)=0),المدخلات!$J$57,IF(AND(المدخلات!$H$57="القسط (الدفعة) الاول",B185=1),المدخلات!$J$57,IF(المدخلات!$H$57="شهري",المدخلات!$J$57,""))),"")</f>
        <v/>
      </c>
      <c r="N185" s="6">
        <f>IF(B185&lt;&gt;"",IF(AND(المدخلات!$H$58="سنوي",MOD(B185,12)=0),المدخلات!$J$58,IF(AND(المدخلات!$H$58="القسط (الدفعة) الاول",B185=1),المدخلات!$J$58,IF(المدخلات!$H$58="شهري",المدخلات!$J$58,IF(AND(المدخلات!$H$58="End of the loan",B185=المدخلات!$E$58),المدخلات!$J$58,"")))),"")</f>
        <v>0</v>
      </c>
      <c r="O185" s="6">
        <f t="shared" si="20"/>
        <v>208.33333333333334</v>
      </c>
      <c r="P185" s="4">
        <f t="shared" si="21"/>
        <v>10525.868335503435</v>
      </c>
      <c r="T185" s="9">
        <f t="shared" si="22"/>
        <v>50404</v>
      </c>
      <c r="U185" s="5">
        <f t="shared" si="23"/>
        <v>10525.87</v>
      </c>
    </row>
    <row r="186" spans="2:21" x14ac:dyDescent="0.2">
      <c r="B186" s="16">
        <f t="shared" si="26"/>
        <v>169</v>
      </c>
      <c r="C186" s="9">
        <f t="shared" si="27"/>
        <v>50435</v>
      </c>
      <c r="D186" s="6">
        <f>IFERROR((PPMT(المدخلات!$E$55/12,B186,$C$6,المدخلات!$E$54,-المدخلات!$E$65,0))," ")</f>
        <v>-6433.8496045235261</v>
      </c>
      <c r="E186" s="6">
        <f>IFERROR(((IPMT(المدخلات!$E$55/12,B186,$C$6,المدخلات!$E$54,-المدخلات!$E$65,0)))," ")</f>
        <v>-3883.6853976465754</v>
      </c>
      <c r="F186" s="6">
        <f t="shared" si="29"/>
        <v>-759084.30829981598</v>
      </c>
      <c r="G186" s="6">
        <f t="shared" si="28"/>
        <v>-984579.1070669312</v>
      </c>
      <c r="H186" s="6">
        <f t="shared" si="24"/>
        <v>-10317.535002170102</v>
      </c>
      <c r="I186" s="6">
        <f t="shared" si="25"/>
        <v>840915.69170018402</v>
      </c>
      <c r="J186" s="6" t="str">
        <f>IF(B186&lt;&gt;"",IF(AND(المدخلات!$H$54="سنوي",MOD(B186,12)=0),المدخلات!$J$54,IF(AND(المدخلات!$H$54="القسط (الدفعة) الاول",B186=1),المدخلات!$J$54,IF(المدخلات!$H$54="شهري",المدخلات!$J$54,""))),"")</f>
        <v/>
      </c>
      <c r="K186" s="6" t="str">
        <f>IF(B186&lt;&gt;"",IF(AND(المدخلات!$H$55="سنوي",MOD(B186,12)=0),المدخلات!$J$55,IF(AND(المدخلات!$H$55="القسط (الدفعة) الاول",B186=1),المدخلات!$J$55,IF(المدخلات!$H$55="شهري",المدخلات!$J$55,""))),"")</f>
        <v/>
      </c>
      <c r="L186" s="6">
        <f>IF(B186&lt;&gt;"",IF(AND(المدخلات!$H$56="سنوي",MOD(B186,12)=0),المدخلات!$J$56,IF(AND(المدخلات!$H$56="القسط (الدفعة) الاول",B186=1),المدخلات!$J$56,IF(المدخلات!$H$56="شهري",المدخلات!$J$56,""))),"")</f>
        <v>208.33333333333334</v>
      </c>
      <c r="M186" s="6" t="str">
        <f>IF(B186&lt;&gt;"",IF(AND(المدخلات!$H$57="سنوي",MOD(B186,12)=0),المدخلات!$J$57,IF(AND(المدخلات!$H$57="القسط (الدفعة) الاول",B186=1),المدخلات!$J$57,IF(المدخلات!$H$57="شهري",المدخلات!$J$57,""))),"")</f>
        <v/>
      </c>
      <c r="N186" s="6" t="str">
        <f>IF(B186&lt;&gt;"",IF(AND(المدخلات!$H$58="سنوي",MOD(B186,12)=0),المدخلات!$J$58,IF(AND(المدخلات!$H$58="القسط (الدفعة) الاول",B186=1),المدخلات!$J$58,IF(المدخلات!$H$58="شهري",المدخلات!$J$58,IF(AND(المدخلات!$H$58="End of the loan",B186=المدخلات!$E$58),المدخلات!$J$58,"")))),"")</f>
        <v/>
      </c>
      <c r="O186" s="6">
        <f t="shared" si="20"/>
        <v>208.33333333333334</v>
      </c>
      <c r="P186" s="4">
        <f t="shared" si="21"/>
        <v>10525.868335503435</v>
      </c>
      <c r="T186" s="9">
        <f t="shared" si="22"/>
        <v>50435</v>
      </c>
      <c r="U186" s="5">
        <f t="shared" si="23"/>
        <v>10525.87</v>
      </c>
    </row>
    <row r="187" spans="2:21" x14ac:dyDescent="0.2">
      <c r="B187" s="16">
        <f t="shared" si="26"/>
        <v>170</v>
      </c>
      <c r="C187" s="9">
        <f t="shared" si="27"/>
        <v>50464</v>
      </c>
      <c r="D187" s="6">
        <f>IFERROR((PPMT(المدخلات!$E$55/12,B187,$C$6,المدخلات!$E$54,-المدخلات!$E$65,0))," ")</f>
        <v>-6463.3380818775922</v>
      </c>
      <c r="E187" s="6">
        <f>IFERROR(((IPMT(المدخلات!$E$55/12,B187,$C$6,المدخلات!$E$54,-المدخلات!$E$65,0)))," ")</f>
        <v>-3854.1969202925097</v>
      </c>
      <c r="F187" s="6">
        <f t="shared" si="29"/>
        <v>-765547.64638169354</v>
      </c>
      <c r="G187" s="6">
        <f t="shared" si="28"/>
        <v>-988433.30398722365</v>
      </c>
      <c r="H187" s="6">
        <f t="shared" si="24"/>
        <v>-10317.535002170102</v>
      </c>
      <c r="I187" s="6">
        <f t="shared" si="25"/>
        <v>834452.35361830646</v>
      </c>
      <c r="J187" s="6" t="str">
        <f>IF(B187&lt;&gt;"",IF(AND(المدخلات!$H$54="سنوي",MOD(B187,12)=0),المدخلات!$J$54,IF(AND(المدخلات!$H$54="القسط (الدفعة) الاول",B187=1),المدخلات!$J$54,IF(المدخلات!$H$54="شهري",المدخلات!$J$54,""))),"")</f>
        <v/>
      </c>
      <c r="K187" s="6" t="str">
        <f>IF(B187&lt;&gt;"",IF(AND(المدخلات!$H$55="سنوي",MOD(B187,12)=0),المدخلات!$J$55,IF(AND(المدخلات!$H$55="القسط (الدفعة) الاول",B187=1),المدخلات!$J$55,IF(المدخلات!$H$55="شهري",المدخلات!$J$55,""))),"")</f>
        <v/>
      </c>
      <c r="L187" s="6">
        <f>IF(B187&lt;&gt;"",IF(AND(المدخلات!$H$56="سنوي",MOD(B187,12)=0),المدخلات!$J$56,IF(AND(المدخلات!$H$56="القسط (الدفعة) الاول",B187=1),المدخلات!$J$56,IF(المدخلات!$H$56="شهري",المدخلات!$J$56,""))),"")</f>
        <v>208.33333333333334</v>
      </c>
      <c r="M187" s="6" t="str">
        <f>IF(B187&lt;&gt;"",IF(AND(المدخلات!$H$57="سنوي",MOD(B187,12)=0),المدخلات!$J$57,IF(AND(المدخلات!$H$57="القسط (الدفعة) الاول",B187=1),المدخلات!$J$57,IF(المدخلات!$H$57="شهري",المدخلات!$J$57,""))),"")</f>
        <v/>
      </c>
      <c r="N187" s="6" t="str">
        <f>IF(B187&lt;&gt;"",IF(AND(المدخلات!$H$58="سنوي",MOD(B187,12)=0),المدخلات!$J$58,IF(AND(المدخلات!$H$58="القسط (الدفعة) الاول",B187=1),المدخلات!$J$58,IF(المدخلات!$H$58="شهري",المدخلات!$J$58,IF(AND(المدخلات!$H$58="End of the loan",B187=المدخلات!$E$58),المدخلات!$J$58,"")))),"")</f>
        <v/>
      </c>
      <c r="O187" s="6">
        <f t="shared" si="20"/>
        <v>208.33333333333334</v>
      </c>
      <c r="P187" s="4">
        <f t="shared" si="21"/>
        <v>10525.868335503435</v>
      </c>
      <c r="T187" s="9">
        <f t="shared" si="22"/>
        <v>50464</v>
      </c>
      <c r="U187" s="5">
        <f t="shared" si="23"/>
        <v>10525.87</v>
      </c>
    </row>
    <row r="188" spans="2:21" x14ac:dyDescent="0.2">
      <c r="B188" s="16">
        <f t="shared" si="26"/>
        <v>171</v>
      </c>
      <c r="C188" s="9">
        <f t="shared" si="27"/>
        <v>50494</v>
      </c>
      <c r="D188" s="6">
        <f>IFERROR((PPMT(المدخلات!$E$55/12,B188,$C$6,المدخلات!$E$54,-المدخلات!$E$65,0))," ")</f>
        <v>-6492.9617147528643</v>
      </c>
      <c r="E188" s="6">
        <f>IFERROR(((IPMT(المدخلات!$E$55/12,B188,$C$6,المدخلات!$E$54,-المدخلات!$E$65,0)))," ")</f>
        <v>-3824.5732874172368</v>
      </c>
      <c r="F188" s="6">
        <f t="shared" si="29"/>
        <v>-772040.60809644638</v>
      </c>
      <c r="G188" s="6">
        <f t="shared" si="28"/>
        <v>-992257.87727464084</v>
      </c>
      <c r="H188" s="6">
        <f t="shared" si="24"/>
        <v>-10317.535002170102</v>
      </c>
      <c r="I188" s="6">
        <f t="shared" si="25"/>
        <v>827959.39190355362</v>
      </c>
      <c r="J188" s="6" t="str">
        <f>IF(B188&lt;&gt;"",IF(AND(المدخلات!$H$54="سنوي",MOD(B188,12)=0),المدخلات!$J$54,IF(AND(المدخلات!$H$54="القسط (الدفعة) الاول",B188=1),المدخلات!$J$54,IF(المدخلات!$H$54="شهري",المدخلات!$J$54,""))),"")</f>
        <v/>
      </c>
      <c r="K188" s="6" t="str">
        <f>IF(B188&lt;&gt;"",IF(AND(المدخلات!$H$55="سنوي",MOD(B188,12)=0),المدخلات!$J$55,IF(AND(المدخلات!$H$55="القسط (الدفعة) الاول",B188=1),المدخلات!$J$55,IF(المدخلات!$H$55="شهري",المدخلات!$J$55,""))),"")</f>
        <v/>
      </c>
      <c r="L188" s="6">
        <f>IF(B188&lt;&gt;"",IF(AND(المدخلات!$H$56="سنوي",MOD(B188,12)=0),المدخلات!$J$56,IF(AND(المدخلات!$H$56="القسط (الدفعة) الاول",B188=1),المدخلات!$J$56,IF(المدخلات!$H$56="شهري",المدخلات!$J$56,""))),"")</f>
        <v>208.33333333333334</v>
      </c>
      <c r="M188" s="6" t="str">
        <f>IF(B188&lt;&gt;"",IF(AND(المدخلات!$H$57="سنوي",MOD(B188,12)=0),المدخلات!$J$57,IF(AND(المدخلات!$H$57="القسط (الدفعة) الاول",B188=1),المدخلات!$J$57,IF(المدخلات!$H$57="شهري",المدخلات!$J$57,""))),"")</f>
        <v/>
      </c>
      <c r="N188" s="6" t="str">
        <f>IF(B188&lt;&gt;"",IF(AND(المدخلات!$H$58="سنوي",MOD(B188,12)=0),المدخلات!$J$58,IF(AND(المدخلات!$H$58="القسط (الدفعة) الاول",B188=1),المدخلات!$J$58,IF(المدخلات!$H$58="شهري",المدخلات!$J$58,IF(AND(المدخلات!$H$58="End of the loan",B188=المدخلات!$E$58),المدخلات!$J$58,"")))),"")</f>
        <v/>
      </c>
      <c r="O188" s="6">
        <f t="shared" si="20"/>
        <v>208.33333333333334</v>
      </c>
      <c r="P188" s="4">
        <f t="shared" si="21"/>
        <v>10525.868335503435</v>
      </c>
      <c r="T188" s="9">
        <f t="shared" si="22"/>
        <v>50494</v>
      </c>
      <c r="U188" s="5">
        <f t="shared" si="23"/>
        <v>10525.87</v>
      </c>
    </row>
    <row r="189" spans="2:21" x14ac:dyDescent="0.2">
      <c r="B189" s="16">
        <f t="shared" si="26"/>
        <v>172</v>
      </c>
      <c r="C189" s="9">
        <f t="shared" si="27"/>
        <v>50525</v>
      </c>
      <c r="D189" s="6">
        <f>IFERROR((PPMT(المدخلات!$E$55/12,B189,$C$6,المدخلات!$E$54,-المدخلات!$E$65,0))," ")</f>
        <v>-6522.7211226121481</v>
      </c>
      <c r="E189" s="6">
        <f>IFERROR(((IPMT(المدخلات!$E$55/12,B189,$C$6,المدخلات!$E$54,-المدخلات!$E$65,0)))," ")</f>
        <v>-3794.8138795579525</v>
      </c>
      <c r="F189" s="6">
        <f t="shared" si="29"/>
        <v>-778563.32921905851</v>
      </c>
      <c r="G189" s="6">
        <f t="shared" si="28"/>
        <v>-996052.69115419884</v>
      </c>
      <c r="H189" s="6">
        <f t="shared" si="24"/>
        <v>-10317.535002170102</v>
      </c>
      <c r="I189" s="6">
        <f t="shared" si="25"/>
        <v>821436.67078094149</v>
      </c>
      <c r="J189" s="6" t="str">
        <f>IF(B189&lt;&gt;"",IF(AND(المدخلات!$H$54="سنوي",MOD(B189,12)=0),المدخلات!$J$54,IF(AND(المدخلات!$H$54="القسط (الدفعة) الاول",B189=1),المدخلات!$J$54,IF(المدخلات!$H$54="شهري",المدخلات!$J$54,""))),"")</f>
        <v/>
      </c>
      <c r="K189" s="6" t="str">
        <f>IF(B189&lt;&gt;"",IF(AND(المدخلات!$H$55="سنوي",MOD(B189,12)=0),المدخلات!$J$55,IF(AND(المدخلات!$H$55="القسط (الدفعة) الاول",B189=1),المدخلات!$J$55,IF(المدخلات!$H$55="شهري",المدخلات!$J$55,""))),"")</f>
        <v/>
      </c>
      <c r="L189" s="6">
        <f>IF(B189&lt;&gt;"",IF(AND(المدخلات!$H$56="سنوي",MOD(B189,12)=0),المدخلات!$J$56,IF(AND(المدخلات!$H$56="القسط (الدفعة) الاول",B189=1),المدخلات!$J$56,IF(المدخلات!$H$56="شهري",المدخلات!$J$56,""))),"")</f>
        <v>208.33333333333334</v>
      </c>
      <c r="M189" s="6" t="str">
        <f>IF(B189&lt;&gt;"",IF(AND(المدخلات!$H$57="سنوي",MOD(B189,12)=0),المدخلات!$J$57,IF(AND(المدخلات!$H$57="القسط (الدفعة) الاول",B189=1),المدخلات!$J$57,IF(المدخلات!$H$57="شهري",المدخلات!$J$57,""))),"")</f>
        <v/>
      </c>
      <c r="N189" s="6" t="str">
        <f>IF(B189&lt;&gt;"",IF(AND(المدخلات!$H$58="سنوي",MOD(B189,12)=0),المدخلات!$J$58,IF(AND(المدخلات!$H$58="القسط (الدفعة) الاول",B189=1),المدخلات!$J$58,IF(المدخلات!$H$58="شهري",المدخلات!$J$58,IF(AND(المدخلات!$H$58="End of the loan",B189=المدخلات!$E$58),المدخلات!$J$58,"")))),"")</f>
        <v/>
      </c>
      <c r="O189" s="6">
        <f t="shared" si="20"/>
        <v>208.33333333333334</v>
      </c>
      <c r="P189" s="4">
        <f t="shared" si="21"/>
        <v>10525.868335503435</v>
      </c>
      <c r="T189" s="9">
        <f t="shared" si="22"/>
        <v>50525</v>
      </c>
      <c r="U189" s="5">
        <f t="shared" si="23"/>
        <v>10525.87</v>
      </c>
    </row>
    <row r="190" spans="2:21" x14ac:dyDescent="0.2">
      <c r="B190" s="16">
        <f t="shared" si="26"/>
        <v>173</v>
      </c>
      <c r="C190" s="9">
        <f t="shared" si="27"/>
        <v>50555</v>
      </c>
      <c r="D190" s="6">
        <f>IFERROR((PPMT(المدخلات!$E$55/12,B190,$C$6,المدخلات!$E$54,-المدخلات!$E$65,0))," ")</f>
        <v>-6552.6169277574545</v>
      </c>
      <c r="E190" s="6">
        <f>IFERROR(((IPMT(المدخلات!$E$55/12,B190,$C$6,المدخلات!$E$54,-المدخلات!$E$65,0)))," ")</f>
        <v>-3764.918074412647</v>
      </c>
      <c r="F190" s="6">
        <f t="shared" si="29"/>
        <v>-785115.94614681602</v>
      </c>
      <c r="G190" s="6">
        <f t="shared" si="28"/>
        <v>-999817.60922861146</v>
      </c>
      <c r="H190" s="6">
        <f t="shared" si="24"/>
        <v>-10317.535002170102</v>
      </c>
      <c r="I190" s="6">
        <f t="shared" si="25"/>
        <v>814884.05385318398</v>
      </c>
      <c r="J190" s="6" t="str">
        <f>IF(B190&lt;&gt;"",IF(AND(المدخلات!$H$54="سنوي",MOD(B190,12)=0),المدخلات!$J$54,IF(AND(المدخلات!$H$54="القسط (الدفعة) الاول",B190=1),المدخلات!$J$54,IF(المدخلات!$H$54="شهري",المدخلات!$J$54,""))),"")</f>
        <v/>
      </c>
      <c r="K190" s="6" t="str">
        <f>IF(B190&lt;&gt;"",IF(AND(المدخلات!$H$55="سنوي",MOD(B190,12)=0),المدخلات!$J$55,IF(AND(المدخلات!$H$55="القسط (الدفعة) الاول",B190=1),المدخلات!$J$55,IF(المدخلات!$H$55="شهري",المدخلات!$J$55,""))),"")</f>
        <v/>
      </c>
      <c r="L190" s="6">
        <f>IF(B190&lt;&gt;"",IF(AND(المدخلات!$H$56="سنوي",MOD(B190,12)=0),المدخلات!$J$56,IF(AND(المدخلات!$H$56="القسط (الدفعة) الاول",B190=1),المدخلات!$J$56,IF(المدخلات!$H$56="شهري",المدخلات!$J$56,""))),"")</f>
        <v>208.33333333333334</v>
      </c>
      <c r="M190" s="6" t="str">
        <f>IF(B190&lt;&gt;"",IF(AND(المدخلات!$H$57="سنوي",MOD(B190,12)=0),المدخلات!$J$57,IF(AND(المدخلات!$H$57="القسط (الدفعة) الاول",B190=1),المدخلات!$J$57,IF(المدخلات!$H$57="شهري",المدخلات!$J$57,""))),"")</f>
        <v/>
      </c>
      <c r="N190" s="6" t="str">
        <f>IF(B190&lt;&gt;"",IF(AND(المدخلات!$H$58="سنوي",MOD(B190,12)=0),المدخلات!$J$58,IF(AND(المدخلات!$H$58="القسط (الدفعة) الاول",B190=1),المدخلات!$J$58,IF(المدخلات!$H$58="شهري",المدخلات!$J$58,IF(AND(المدخلات!$H$58="End of the loan",B190=المدخلات!$E$58),المدخلات!$J$58,"")))),"")</f>
        <v/>
      </c>
      <c r="O190" s="6">
        <f t="shared" si="20"/>
        <v>208.33333333333334</v>
      </c>
      <c r="P190" s="4">
        <f t="shared" si="21"/>
        <v>10525.868335503435</v>
      </c>
      <c r="T190" s="9">
        <f t="shared" si="22"/>
        <v>50555</v>
      </c>
      <c r="U190" s="5">
        <f t="shared" si="23"/>
        <v>10525.87</v>
      </c>
    </row>
    <row r="191" spans="2:21" x14ac:dyDescent="0.2">
      <c r="B191" s="16">
        <f t="shared" si="26"/>
        <v>174</v>
      </c>
      <c r="C191" s="9">
        <f t="shared" si="27"/>
        <v>50586</v>
      </c>
      <c r="D191" s="6">
        <f>IFERROR((PPMT(المدخلات!$E$55/12,B191,$C$6,المدخلات!$E$54,-المدخلات!$E$65,0))," ")</f>
        <v>-6582.649755343009</v>
      </c>
      <c r="E191" s="6">
        <f>IFERROR(((IPMT(المدخلات!$E$55/12,B191,$C$6,المدخلات!$E$54,-المدخلات!$E$65,0)))," ")</f>
        <v>-3734.885246827092</v>
      </c>
      <c r="F191" s="6">
        <f t="shared" si="29"/>
        <v>-791698.595902159</v>
      </c>
      <c r="G191" s="6">
        <f t="shared" si="28"/>
        <v>-1003552.4944754385</v>
      </c>
      <c r="H191" s="6">
        <f t="shared" si="24"/>
        <v>-10317.535002170102</v>
      </c>
      <c r="I191" s="6">
        <f t="shared" si="25"/>
        <v>808301.404097841</v>
      </c>
      <c r="J191" s="6" t="str">
        <f>IF(B191&lt;&gt;"",IF(AND(المدخلات!$H$54="سنوي",MOD(B191,12)=0),المدخلات!$J$54,IF(AND(المدخلات!$H$54="القسط (الدفعة) الاول",B191=1),المدخلات!$J$54,IF(المدخلات!$H$54="شهري",المدخلات!$J$54,""))),"")</f>
        <v/>
      </c>
      <c r="K191" s="6" t="str">
        <f>IF(B191&lt;&gt;"",IF(AND(المدخلات!$H$55="سنوي",MOD(B191,12)=0),المدخلات!$J$55,IF(AND(المدخلات!$H$55="القسط (الدفعة) الاول",B191=1),المدخلات!$J$55,IF(المدخلات!$H$55="شهري",المدخلات!$J$55,""))),"")</f>
        <v/>
      </c>
      <c r="L191" s="6">
        <f>IF(B191&lt;&gt;"",IF(AND(المدخلات!$H$56="سنوي",MOD(B191,12)=0),المدخلات!$J$56,IF(AND(المدخلات!$H$56="القسط (الدفعة) الاول",B191=1),المدخلات!$J$56,IF(المدخلات!$H$56="شهري",المدخلات!$J$56,""))),"")</f>
        <v>208.33333333333334</v>
      </c>
      <c r="M191" s="6" t="str">
        <f>IF(B191&lt;&gt;"",IF(AND(المدخلات!$H$57="سنوي",MOD(B191,12)=0),المدخلات!$J$57,IF(AND(المدخلات!$H$57="القسط (الدفعة) الاول",B191=1),المدخلات!$J$57,IF(المدخلات!$H$57="شهري",المدخلات!$J$57,""))),"")</f>
        <v/>
      </c>
      <c r="N191" s="6" t="str">
        <f>IF(B191&lt;&gt;"",IF(AND(المدخلات!$H$58="سنوي",MOD(B191,12)=0),المدخلات!$J$58,IF(AND(المدخلات!$H$58="القسط (الدفعة) الاول",B191=1),المدخلات!$J$58,IF(المدخلات!$H$58="شهري",المدخلات!$J$58,IF(AND(المدخلات!$H$58="End of the loan",B191=المدخلات!$E$58),المدخلات!$J$58,"")))),"")</f>
        <v/>
      </c>
      <c r="O191" s="6">
        <f t="shared" si="20"/>
        <v>208.33333333333334</v>
      </c>
      <c r="P191" s="4">
        <f t="shared" si="21"/>
        <v>10525.868335503435</v>
      </c>
      <c r="T191" s="9">
        <f t="shared" si="22"/>
        <v>50586</v>
      </c>
      <c r="U191" s="5">
        <f t="shared" si="23"/>
        <v>10525.87</v>
      </c>
    </row>
    <row r="192" spans="2:21" x14ac:dyDescent="0.2">
      <c r="B192" s="16">
        <f t="shared" si="26"/>
        <v>175</v>
      </c>
      <c r="C192" s="9">
        <f t="shared" si="27"/>
        <v>50616</v>
      </c>
      <c r="D192" s="6">
        <f>IFERROR((PPMT(المدخلات!$E$55/12,B192,$C$6,المدخلات!$E$54,-المدخلات!$E$65,0))," ")</f>
        <v>-6612.820233388331</v>
      </c>
      <c r="E192" s="6">
        <f>IFERROR(((IPMT(المدخلات!$E$55/12,B192,$C$6,المدخلات!$E$54,-المدخلات!$E$65,0)))," ")</f>
        <v>-3704.7147687817696</v>
      </c>
      <c r="F192" s="6">
        <f t="shared" si="29"/>
        <v>-798311.41613554733</v>
      </c>
      <c r="G192" s="6">
        <f t="shared" si="28"/>
        <v>-1007257.2092442203</v>
      </c>
      <c r="H192" s="6">
        <f t="shared" si="24"/>
        <v>-10317.535002170102</v>
      </c>
      <c r="I192" s="6">
        <f t="shared" si="25"/>
        <v>801688.58386445267</v>
      </c>
      <c r="J192" s="6" t="str">
        <f>IF(B192&lt;&gt;"",IF(AND(المدخلات!$H$54="سنوي",MOD(B192,12)=0),المدخلات!$J$54,IF(AND(المدخلات!$H$54="القسط (الدفعة) الاول",B192=1),المدخلات!$J$54,IF(المدخلات!$H$54="شهري",المدخلات!$J$54,""))),"")</f>
        <v/>
      </c>
      <c r="K192" s="6" t="str">
        <f>IF(B192&lt;&gt;"",IF(AND(المدخلات!$H$55="سنوي",MOD(B192,12)=0),المدخلات!$J$55,IF(AND(المدخلات!$H$55="القسط (الدفعة) الاول",B192=1),المدخلات!$J$55,IF(المدخلات!$H$55="شهري",المدخلات!$J$55,""))),"")</f>
        <v/>
      </c>
      <c r="L192" s="6">
        <f>IF(B192&lt;&gt;"",IF(AND(المدخلات!$H$56="سنوي",MOD(B192,12)=0),المدخلات!$J$56,IF(AND(المدخلات!$H$56="القسط (الدفعة) الاول",B192=1),المدخلات!$J$56,IF(المدخلات!$H$56="شهري",المدخلات!$J$56,""))),"")</f>
        <v>208.33333333333334</v>
      </c>
      <c r="M192" s="6" t="str">
        <f>IF(B192&lt;&gt;"",IF(AND(المدخلات!$H$57="سنوي",MOD(B192,12)=0),المدخلات!$J$57,IF(AND(المدخلات!$H$57="القسط (الدفعة) الاول",B192=1),المدخلات!$J$57,IF(المدخلات!$H$57="شهري",المدخلات!$J$57,""))),"")</f>
        <v/>
      </c>
      <c r="N192" s="6" t="str">
        <f>IF(B192&lt;&gt;"",IF(AND(المدخلات!$H$58="سنوي",MOD(B192,12)=0),المدخلات!$J$58,IF(AND(المدخلات!$H$58="القسط (الدفعة) الاول",B192=1),المدخلات!$J$58,IF(المدخلات!$H$58="شهري",المدخلات!$J$58,IF(AND(المدخلات!$H$58="End of the loan",B192=المدخلات!$E$58),المدخلات!$J$58,"")))),"")</f>
        <v/>
      </c>
      <c r="O192" s="6">
        <f t="shared" si="20"/>
        <v>208.33333333333334</v>
      </c>
      <c r="P192" s="4">
        <f t="shared" si="21"/>
        <v>10525.868335503435</v>
      </c>
      <c r="T192" s="9">
        <f t="shared" si="22"/>
        <v>50616</v>
      </c>
      <c r="U192" s="5">
        <f t="shared" si="23"/>
        <v>10525.87</v>
      </c>
    </row>
    <row r="193" spans="2:21" x14ac:dyDescent="0.2">
      <c r="B193" s="16">
        <f t="shared" si="26"/>
        <v>176</v>
      </c>
      <c r="C193" s="9">
        <f t="shared" si="27"/>
        <v>50647</v>
      </c>
      <c r="D193" s="6">
        <f>IFERROR((PPMT(المدخلات!$E$55/12,B193,$C$6,المدخلات!$E$54,-المدخلات!$E$65,0))," ")</f>
        <v>-6643.1289927913613</v>
      </c>
      <c r="E193" s="6">
        <f>IFERROR(((IPMT(المدخلات!$E$55/12,B193,$C$6,المدخلات!$E$54,-المدخلات!$E$65,0)))," ")</f>
        <v>-3674.4060093787402</v>
      </c>
      <c r="F193" s="6">
        <f t="shared" si="29"/>
        <v>-804954.54512833874</v>
      </c>
      <c r="G193" s="6">
        <f t="shared" si="28"/>
        <v>-1010931.615253599</v>
      </c>
      <c r="H193" s="6">
        <f t="shared" si="24"/>
        <v>-10317.535002170102</v>
      </c>
      <c r="I193" s="6">
        <f t="shared" si="25"/>
        <v>795045.45487166126</v>
      </c>
      <c r="J193" s="6" t="str">
        <f>IF(B193&lt;&gt;"",IF(AND(المدخلات!$H$54="سنوي",MOD(B193,12)=0),المدخلات!$J$54,IF(AND(المدخلات!$H$54="القسط (الدفعة) الاول",B193=1),المدخلات!$J$54,IF(المدخلات!$H$54="شهري",المدخلات!$J$54,""))),"")</f>
        <v/>
      </c>
      <c r="K193" s="6" t="str">
        <f>IF(B193&lt;&gt;"",IF(AND(المدخلات!$H$55="سنوي",MOD(B193,12)=0),المدخلات!$J$55,IF(AND(المدخلات!$H$55="القسط (الدفعة) الاول",B193=1),المدخلات!$J$55,IF(المدخلات!$H$55="شهري",المدخلات!$J$55,""))),"")</f>
        <v/>
      </c>
      <c r="L193" s="6">
        <f>IF(B193&lt;&gt;"",IF(AND(المدخلات!$H$56="سنوي",MOD(B193,12)=0),المدخلات!$J$56,IF(AND(المدخلات!$H$56="القسط (الدفعة) الاول",B193=1),المدخلات!$J$56,IF(المدخلات!$H$56="شهري",المدخلات!$J$56,""))),"")</f>
        <v>208.33333333333334</v>
      </c>
      <c r="M193" s="6" t="str">
        <f>IF(B193&lt;&gt;"",IF(AND(المدخلات!$H$57="سنوي",MOD(B193,12)=0),المدخلات!$J$57,IF(AND(المدخلات!$H$57="القسط (الدفعة) الاول",B193=1),المدخلات!$J$57,IF(المدخلات!$H$57="شهري",المدخلات!$J$57,""))),"")</f>
        <v/>
      </c>
      <c r="N193" s="6" t="str">
        <f>IF(B193&lt;&gt;"",IF(AND(المدخلات!$H$58="سنوي",MOD(B193,12)=0),المدخلات!$J$58,IF(AND(المدخلات!$H$58="القسط (الدفعة) الاول",B193=1),المدخلات!$J$58,IF(المدخلات!$H$58="شهري",المدخلات!$J$58,IF(AND(المدخلات!$H$58="End of the loan",B193=المدخلات!$E$58),المدخلات!$J$58,"")))),"")</f>
        <v/>
      </c>
      <c r="O193" s="6">
        <f t="shared" si="20"/>
        <v>208.33333333333334</v>
      </c>
      <c r="P193" s="4">
        <f t="shared" si="21"/>
        <v>10525.868335503435</v>
      </c>
      <c r="T193" s="9">
        <f t="shared" si="22"/>
        <v>50647</v>
      </c>
      <c r="U193" s="5">
        <f t="shared" si="23"/>
        <v>10525.87</v>
      </c>
    </row>
    <row r="194" spans="2:21" x14ac:dyDescent="0.2">
      <c r="B194" s="16">
        <f t="shared" si="26"/>
        <v>177</v>
      </c>
      <c r="C194" s="9">
        <f t="shared" si="27"/>
        <v>50678</v>
      </c>
      <c r="D194" s="6">
        <f>IFERROR((PPMT(المدخلات!$E$55/12,B194,$C$6,المدخلات!$E$54,-المدخلات!$E$65,0))," ")</f>
        <v>-6673.5766673416538</v>
      </c>
      <c r="E194" s="6">
        <f>IFERROR(((IPMT(المدخلات!$E$55/12,B194,$C$6,المدخلات!$E$54,-المدخلات!$E$65,0)))," ")</f>
        <v>-3643.9583348284464</v>
      </c>
      <c r="F194" s="6">
        <f t="shared" si="29"/>
        <v>-811628.12179568037</v>
      </c>
      <c r="G194" s="6">
        <f t="shared" si="28"/>
        <v>-1014575.5735884275</v>
      </c>
      <c r="H194" s="6">
        <f t="shared" si="24"/>
        <v>-10317.5350021701</v>
      </c>
      <c r="I194" s="6">
        <f t="shared" si="25"/>
        <v>788371.87820431963</v>
      </c>
      <c r="J194" s="6" t="str">
        <f>IF(B194&lt;&gt;"",IF(AND(المدخلات!$H$54="سنوي",MOD(B194,12)=0),المدخلات!$J$54,IF(AND(المدخلات!$H$54="القسط (الدفعة) الاول",B194=1),المدخلات!$J$54,IF(المدخلات!$H$54="شهري",المدخلات!$J$54,""))),"")</f>
        <v/>
      </c>
      <c r="K194" s="6" t="str">
        <f>IF(B194&lt;&gt;"",IF(AND(المدخلات!$H$55="سنوي",MOD(B194,12)=0),المدخلات!$J$55,IF(AND(المدخلات!$H$55="القسط (الدفعة) الاول",B194=1),المدخلات!$J$55,IF(المدخلات!$H$55="شهري",المدخلات!$J$55,""))),"")</f>
        <v/>
      </c>
      <c r="L194" s="6">
        <f>IF(B194&lt;&gt;"",IF(AND(المدخلات!$H$56="سنوي",MOD(B194,12)=0),المدخلات!$J$56,IF(AND(المدخلات!$H$56="القسط (الدفعة) الاول",B194=1),المدخلات!$J$56,IF(المدخلات!$H$56="شهري",المدخلات!$J$56,""))),"")</f>
        <v>208.33333333333334</v>
      </c>
      <c r="M194" s="6" t="str">
        <f>IF(B194&lt;&gt;"",IF(AND(المدخلات!$H$57="سنوي",MOD(B194,12)=0),المدخلات!$J$57,IF(AND(المدخلات!$H$57="القسط (الدفعة) الاول",B194=1),المدخلات!$J$57,IF(المدخلات!$H$57="شهري",المدخلات!$J$57,""))),"")</f>
        <v/>
      </c>
      <c r="N194" s="6" t="str">
        <f>IF(B194&lt;&gt;"",IF(AND(المدخلات!$H$58="سنوي",MOD(B194,12)=0),المدخلات!$J$58,IF(AND(المدخلات!$H$58="القسط (الدفعة) الاول",B194=1),المدخلات!$J$58,IF(المدخلات!$H$58="شهري",المدخلات!$J$58,IF(AND(المدخلات!$H$58="End of the loan",B194=المدخلات!$E$58),المدخلات!$J$58,"")))),"")</f>
        <v/>
      </c>
      <c r="O194" s="6">
        <f t="shared" si="20"/>
        <v>208.33333333333334</v>
      </c>
      <c r="P194" s="4">
        <f t="shared" si="21"/>
        <v>10525.868335503434</v>
      </c>
      <c r="T194" s="9">
        <f t="shared" si="22"/>
        <v>50678</v>
      </c>
      <c r="U194" s="5">
        <f t="shared" si="23"/>
        <v>10525.87</v>
      </c>
    </row>
    <row r="195" spans="2:21" x14ac:dyDescent="0.2">
      <c r="B195" s="16">
        <f t="shared" si="26"/>
        <v>178</v>
      </c>
      <c r="C195" s="9">
        <f t="shared" si="27"/>
        <v>50708</v>
      </c>
      <c r="D195" s="6">
        <f>IFERROR((PPMT(المدخلات!$E$55/12,B195,$C$6,المدخلات!$E$54,-المدخلات!$E$65,0))," ")</f>
        <v>-6704.1638937336375</v>
      </c>
      <c r="E195" s="6">
        <f>IFERROR(((IPMT(المدخلات!$E$55/12,B195,$C$6,المدخلات!$E$54,-المدخلات!$E$65,0)))," ")</f>
        <v>-3613.3711084364641</v>
      </c>
      <c r="F195" s="6">
        <f t="shared" si="29"/>
        <v>-818332.28568941401</v>
      </c>
      <c r="G195" s="6">
        <f t="shared" si="28"/>
        <v>-1018188.944696864</v>
      </c>
      <c r="H195" s="6">
        <f t="shared" si="24"/>
        <v>-10317.535002170102</v>
      </c>
      <c r="I195" s="6">
        <f t="shared" si="25"/>
        <v>781667.71431058599</v>
      </c>
      <c r="J195" s="6" t="str">
        <f>IF(B195&lt;&gt;"",IF(AND(المدخلات!$H$54="سنوي",MOD(B195,12)=0),المدخلات!$J$54,IF(AND(المدخلات!$H$54="القسط (الدفعة) الاول",B195=1),المدخلات!$J$54,IF(المدخلات!$H$54="شهري",المدخلات!$J$54,""))),"")</f>
        <v/>
      </c>
      <c r="K195" s="6" t="str">
        <f>IF(B195&lt;&gt;"",IF(AND(المدخلات!$H$55="سنوي",MOD(B195,12)=0),المدخلات!$J$55,IF(AND(المدخلات!$H$55="القسط (الدفعة) الاول",B195=1),المدخلات!$J$55,IF(المدخلات!$H$55="شهري",المدخلات!$J$55,""))),"")</f>
        <v/>
      </c>
      <c r="L195" s="6">
        <f>IF(B195&lt;&gt;"",IF(AND(المدخلات!$H$56="سنوي",MOD(B195,12)=0),المدخلات!$J$56,IF(AND(المدخلات!$H$56="القسط (الدفعة) الاول",B195=1),المدخلات!$J$56,IF(المدخلات!$H$56="شهري",المدخلات!$J$56,""))),"")</f>
        <v>208.33333333333334</v>
      </c>
      <c r="M195" s="6" t="str">
        <f>IF(B195&lt;&gt;"",IF(AND(المدخلات!$H$57="سنوي",MOD(B195,12)=0),المدخلات!$J$57,IF(AND(المدخلات!$H$57="القسط (الدفعة) الاول",B195=1),المدخلات!$J$57,IF(المدخلات!$H$57="شهري",المدخلات!$J$57,""))),"")</f>
        <v/>
      </c>
      <c r="N195" s="6" t="str">
        <f>IF(B195&lt;&gt;"",IF(AND(المدخلات!$H$58="سنوي",MOD(B195,12)=0),المدخلات!$J$58,IF(AND(المدخلات!$H$58="القسط (الدفعة) الاول",B195=1),المدخلات!$J$58,IF(المدخلات!$H$58="شهري",المدخلات!$J$58,IF(AND(المدخلات!$H$58="End of the loan",B195=المدخلات!$E$58),المدخلات!$J$58,"")))),"")</f>
        <v/>
      </c>
      <c r="O195" s="6">
        <f t="shared" si="20"/>
        <v>208.33333333333334</v>
      </c>
      <c r="P195" s="4">
        <f t="shared" si="21"/>
        <v>10525.868335503435</v>
      </c>
      <c r="T195" s="9">
        <f t="shared" si="22"/>
        <v>50708</v>
      </c>
      <c r="U195" s="5">
        <f t="shared" si="23"/>
        <v>10525.87</v>
      </c>
    </row>
    <row r="196" spans="2:21" x14ac:dyDescent="0.2">
      <c r="B196" s="16">
        <f t="shared" si="26"/>
        <v>179</v>
      </c>
      <c r="C196" s="9">
        <f t="shared" si="27"/>
        <v>50739</v>
      </c>
      <c r="D196" s="6">
        <f>IFERROR((PPMT(المدخلات!$E$55/12,B196,$C$6,المدخلات!$E$54,-المدخلات!$E$65,0))," ")</f>
        <v>-6734.8913115799169</v>
      </c>
      <c r="E196" s="6">
        <f>IFERROR(((IPMT(المدخلات!$E$55/12,B196,$C$6,المدخلات!$E$54,-المدخلات!$E$65,0)))," ")</f>
        <v>-3582.6436905901846</v>
      </c>
      <c r="F196" s="6">
        <f t="shared" si="29"/>
        <v>-825067.17700099398</v>
      </c>
      <c r="G196" s="6">
        <f t="shared" si="28"/>
        <v>-1021771.5883874542</v>
      </c>
      <c r="H196" s="6">
        <f t="shared" si="24"/>
        <v>-10317.535002170102</v>
      </c>
      <c r="I196" s="6">
        <f t="shared" si="25"/>
        <v>774932.82299900602</v>
      </c>
      <c r="J196" s="6" t="str">
        <f>IF(B196&lt;&gt;"",IF(AND(المدخلات!$H$54="سنوي",MOD(B196,12)=0),المدخلات!$J$54,IF(AND(المدخلات!$H$54="القسط (الدفعة) الاول",B196=1),المدخلات!$J$54,IF(المدخلات!$H$54="شهري",المدخلات!$J$54,""))),"")</f>
        <v/>
      </c>
      <c r="K196" s="6" t="str">
        <f>IF(B196&lt;&gt;"",IF(AND(المدخلات!$H$55="سنوي",MOD(B196,12)=0),المدخلات!$J$55,IF(AND(المدخلات!$H$55="القسط (الدفعة) الاول",B196=1),المدخلات!$J$55,IF(المدخلات!$H$55="شهري",المدخلات!$J$55,""))),"")</f>
        <v/>
      </c>
      <c r="L196" s="6">
        <f>IF(B196&lt;&gt;"",IF(AND(المدخلات!$H$56="سنوي",MOD(B196,12)=0),المدخلات!$J$56,IF(AND(المدخلات!$H$56="القسط (الدفعة) الاول",B196=1),المدخلات!$J$56,IF(المدخلات!$H$56="شهري",المدخلات!$J$56,""))),"")</f>
        <v>208.33333333333334</v>
      </c>
      <c r="M196" s="6" t="str">
        <f>IF(B196&lt;&gt;"",IF(AND(المدخلات!$H$57="سنوي",MOD(B196,12)=0),المدخلات!$J$57,IF(AND(المدخلات!$H$57="القسط (الدفعة) الاول",B196=1),المدخلات!$J$57,IF(المدخلات!$H$57="شهري",المدخلات!$J$57,""))),"")</f>
        <v/>
      </c>
      <c r="N196" s="6" t="str">
        <f>IF(B196&lt;&gt;"",IF(AND(المدخلات!$H$58="سنوي",MOD(B196,12)=0),المدخلات!$J$58,IF(AND(المدخلات!$H$58="القسط (الدفعة) الاول",B196=1),المدخلات!$J$58,IF(المدخلات!$H$58="شهري",المدخلات!$J$58,IF(AND(المدخلات!$H$58="End of the loan",B196=المدخلات!$E$58),المدخلات!$J$58,"")))),"")</f>
        <v/>
      </c>
      <c r="O196" s="6">
        <f t="shared" si="20"/>
        <v>208.33333333333334</v>
      </c>
      <c r="P196" s="4">
        <f t="shared" si="21"/>
        <v>10525.868335503435</v>
      </c>
      <c r="T196" s="9">
        <f t="shared" si="22"/>
        <v>50739</v>
      </c>
      <c r="U196" s="5">
        <f t="shared" si="23"/>
        <v>10525.87</v>
      </c>
    </row>
    <row r="197" spans="2:21" x14ac:dyDescent="0.2">
      <c r="B197" s="16">
        <f t="shared" si="26"/>
        <v>180</v>
      </c>
      <c r="C197" s="9">
        <f t="shared" si="27"/>
        <v>50769</v>
      </c>
      <c r="D197" s="6">
        <f>IFERROR((PPMT(المدخلات!$E$55/12,B197,$C$6,المدخلات!$E$54,-المدخلات!$E$65,0))," ")</f>
        <v>-6765.7595634246582</v>
      </c>
      <c r="E197" s="6">
        <f>IFERROR(((IPMT(المدخلات!$E$55/12,B197,$C$6,المدخلات!$E$54,-المدخلات!$E$65,0)))," ")</f>
        <v>-3551.7754387454438</v>
      </c>
      <c r="F197" s="6">
        <f t="shared" si="29"/>
        <v>-831832.9365644186</v>
      </c>
      <c r="G197" s="6">
        <f t="shared" si="28"/>
        <v>-1025323.3638261996</v>
      </c>
      <c r="H197" s="6">
        <f t="shared" si="24"/>
        <v>-10317.535002170102</v>
      </c>
      <c r="I197" s="6">
        <f t="shared" si="25"/>
        <v>768167.0634355814</v>
      </c>
      <c r="J197" s="6" t="str">
        <f>IF(B197&lt;&gt;"",IF(AND(المدخلات!$H$54="سنوي",MOD(B197,12)=0),المدخلات!$J$54,IF(AND(المدخلات!$H$54="القسط (الدفعة) الاول",B197=1),المدخلات!$J$54,IF(المدخلات!$H$54="شهري",المدخلات!$J$54,""))),"")</f>
        <v/>
      </c>
      <c r="K197" s="6" t="str">
        <f>IF(B197&lt;&gt;"",IF(AND(المدخلات!$H$55="سنوي",MOD(B197,12)=0),المدخلات!$J$55,IF(AND(المدخلات!$H$55="القسط (الدفعة) الاول",B197=1),المدخلات!$J$55,IF(المدخلات!$H$55="شهري",المدخلات!$J$55,""))),"")</f>
        <v/>
      </c>
      <c r="L197" s="6">
        <f>IF(B197&lt;&gt;"",IF(AND(المدخلات!$H$56="سنوي",MOD(B197,12)=0),المدخلات!$J$56,IF(AND(المدخلات!$H$56="القسط (الدفعة) الاول",B197=1),المدخلات!$J$56,IF(المدخلات!$H$56="شهري",المدخلات!$J$56,""))),"")</f>
        <v>208.33333333333334</v>
      </c>
      <c r="M197" s="6" t="str">
        <f>IF(B197&lt;&gt;"",IF(AND(المدخلات!$H$57="سنوي",MOD(B197,12)=0),المدخلات!$J$57,IF(AND(المدخلات!$H$57="القسط (الدفعة) الاول",B197=1),المدخلات!$J$57,IF(المدخلات!$H$57="شهري",المدخلات!$J$57,""))),"")</f>
        <v/>
      </c>
      <c r="N197" s="6">
        <f>IF(B197&lt;&gt;"",IF(AND(المدخلات!$H$58="سنوي",MOD(B197,12)=0),المدخلات!$J$58,IF(AND(المدخلات!$H$58="القسط (الدفعة) الاول",B197=1),المدخلات!$J$58,IF(المدخلات!$H$58="شهري",المدخلات!$J$58,IF(AND(المدخلات!$H$58="End of the loan",B197=المدخلات!$E$58),المدخلات!$J$58,"")))),"")</f>
        <v>0</v>
      </c>
      <c r="O197" s="6">
        <f t="shared" si="20"/>
        <v>208.33333333333334</v>
      </c>
      <c r="P197" s="4">
        <f t="shared" si="21"/>
        <v>10525.868335503435</v>
      </c>
      <c r="T197" s="9">
        <f t="shared" si="22"/>
        <v>50769</v>
      </c>
      <c r="U197" s="5">
        <f t="shared" si="23"/>
        <v>10525.87</v>
      </c>
    </row>
    <row r="198" spans="2:21" x14ac:dyDescent="0.2">
      <c r="B198" s="16">
        <f t="shared" si="26"/>
        <v>181</v>
      </c>
      <c r="C198" s="9">
        <f t="shared" si="27"/>
        <v>50800</v>
      </c>
      <c r="D198" s="6">
        <f>IFERROR((PPMT(المدخلات!$E$55/12,B198,$C$6,المدخلات!$E$54,-المدخلات!$E$65,0))," ")</f>
        <v>-6796.7692947570204</v>
      </c>
      <c r="E198" s="6">
        <f>IFERROR(((IPMT(المدخلات!$E$55/12,B198,$C$6,المدخلات!$E$54,-المدخلات!$E$65,0)))," ")</f>
        <v>-3520.7657074130807</v>
      </c>
      <c r="F198" s="6">
        <f t="shared" si="29"/>
        <v>-838629.70585917565</v>
      </c>
      <c r="G198" s="6">
        <f t="shared" si="28"/>
        <v>-1028844.1295336126</v>
      </c>
      <c r="H198" s="6">
        <f t="shared" si="24"/>
        <v>-10317.535002170102</v>
      </c>
      <c r="I198" s="6">
        <f t="shared" si="25"/>
        <v>761370.29414082435</v>
      </c>
      <c r="J198" s="6" t="str">
        <f>IF(B198&lt;&gt;"",IF(AND(المدخلات!$H$54="سنوي",MOD(B198,12)=0),المدخلات!$J$54,IF(AND(المدخلات!$H$54="القسط (الدفعة) الاول",B198=1),المدخلات!$J$54,IF(المدخلات!$H$54="شهري",المدخلات!$J$54,""))),"")</f>
        <v/>
      </c>
      <c r="K198" s="6" t="str">
        <f>IF(B198&lt;&gt;"",IF(AND(المدخلات!$H$55="سنوي",MOD(B198,12)=0),المدخلات!$J$55,IF(AND(المدخلات!$H$55="القسط (الدفعة) الاول",B198=1),المدخلات!$J$55,IF(المدخلات!$H$55="شهري",المدخلات!$J$55,""))),"")</f>
        <v/>
      </c>
      <c r="L198" s="6">
        <f>IF(B198&lt;&gt;"",IF(AND(المدخلات!$H$56="سنوي",MOD(B198,12)=0),المدخلات!$J$56,IF(AND(المدخلات!$H$56="القسط (الدفعة) الاول",B198=1),المدخلات!$J$56,IF(المدخلات!$H$56="شهري",المدخلات!$J$56,""))),"")</f>
        <v>208.33333333333334</v>
      </c>
      <c r="M198" s="6" t="str">
        <f>IF(B198&lt;&gt;"",IF(AND(المدخلات!$H$57="سنوي",MOD(B198,12)=0),المدخلات!$J$57,IF(AND(المدخلات!$H$57="القسط (الدفعة) الاول",B198=1),المدخلات!$J$57,IF(المدخلات!$H$57="شهري",المدخلات!$J$57,""))),"")</f>
        <v/>
      </c>
      <c r="N198" s="6" t="str">
        <f>IF(B198&lt;&gt;"",IF(AND(المدخلات!$H$58="سنوي",MOD(B198,12)=0),المدخلات!$J$58,IF(AND(المدخلات!$H$58="القسط (الدفعة) الاول",B198=1),المدخلات!$J$58,IF(المدخلات!$H$58="شهري",المدخلات!$J$58,IF(AND(المدخلات!$H$58="End of the loan",B198=المدخلات!$E$58),المدخلات!$J$58,"")))),"")</f>
        <v/>
      </c>
      <c r="O198" s="6">
        <f t="shared" si="20"/>
        <v>208.33333333333334</v>
      </c>
      <c r="P198" s="4">
        <f t="shared" si="21"/>
        <v>10525.868335503435</v>
      </c>
      <c r="T198" s="9">
        <f t="shared" si="22"/>
        <v>50800</v>
      </c>
      <c r="U198" s="5">
        <f t="shared" si="23"/>
        <v>10525.87</v>
      </c>
    </row>
    <row r="199" spans="2:21" x14ac:dyDescent="0.2">
      <c r="B199" s="16">
        <f t="shared" si="26"/>
        <v>182</v>
      </c>
      <c r="C199" s="9">
        <f t="shared" si="27"/>
        <v>50829</v>
      </c>
      <c r="D199" s="6">
        <f>IFERROR((PPMT(المدخلات!$E$55/12,B199,$C$6,المدخلات!$E$54,-المدخلات!$E$65,0))," ")</f>
        <v>-6827.9211540246561</v>
      </c>
      <c r="E199" s="6">
        <f>IFERROR(((IPMT(المدخلات!$E$55/12,B199,$C$6,المدخلات!$E$54,-المدخلات!$E$65,0)))," ")</f>
        <v>-3489.6138481454441</v>
      </c>
      <c r="F199" s="6">
        <f t="shared" si="29"/>
        <v>-845457.62701320031</v>
      </c>
      <c r="G199" s="6">
        <f t="shared" si="28"/>
        <v>-1032333.7433817581</v>
      </c>
      <c r="H199" s="6">
        <f t="shared" si="24"/>
        <v>-10317.5350021701</v>
      </c>
      <c r="I199" s="6">
        <f t="shared" si="25"/>
        <v>754542.37298679969</v>
      </c>
      <c r="J199" s="6" t="str">
        <f>IF(B199&lt;&gt;"",IF(AND(المدخلات!$H$54="سنوي",MOD(B199,12)=0),المدخلات!$J$54,IF(AND(المدخلات!$H$54="القسط (الدفعة) الاول",B199=1),المدخلات!$J$54,IF(المدخلات!$H$54="شهري",المدخلات!$J$54,""))),"")</f>
        <v/>
      </c>
      <c r="K199" s="6" t="str">
        <f>IF(B199&lt;&gt;"",IF(AND(المدخلات!$H$55="سنوي",MOD(B199,12)=0),المدخلات!$J$55,IF(AND(المدخلات!$H$55="القسط (الدفعة) الاول",B199=1),المدخلات!$J$55,IF(المدخلات!$H$55="شهري",المدخلات!$J$55,""))),"")</f>
        <v/>
      </c>
      <c r="L199" s="6">
        <f>IF(B199&lt;&gt;"",IF(AND(المدخلات!$H$56="سنوي",MOD(B199,12)=0),المدخلات!$J$56,IF(AND(المدخلات!$H$56="القسط (الدفعة) الاول",B199=1),المدخلات!$J$56,IF(المدخلات!$H$56="شهري",المدخلات!$J$56,""))),"")</f>
        <v>208.33333333333334</v>
      </c>
      <c r="M199" s="6" t="str">
        <f>IF(B199&lt;&gt;"",IF(AND(المدخلات!$H$57="سنوي",MOD(B199,12)=0),المدخلات!$J$57,IF(AND(المدخلات!$H$57="القسط (الدفعة) الاول",B199=1),المدخلات!$J$57,IF(المدخلات!$H$57="شهري",المدخلات!$J$57,""))),"")</f>
        <v/>
      </c>
      <c r="N199" s="6" t="str">
        <f>IF(B199&lt;&gt;"",IF(AND(المدخلات!$H$58="سنوي",MOD(B199,12)=0),المدخلات!$J$58,IF(AND(المدخلات!$H$58="القسط (الدفعة) الاول",B199=1),المدخلات!$J$58,IF(المدخلات!$H$58="شهري",المدخلات!$J$58,IF(AND(المدخلات!$H$58="End of the loan",B199=المدخلات!$E$58),المدخلات!$J$58,"")))),"")</f>
        <v/>
      </c>
      <c r="O199" s="6">
        <f t="shared" si="20"/>
        <v>208.33333333333334</v>
      </c>
      <c r="P199" s="4">
        <f t="shared" si="21"/>
        <v>10525.868335503434</v>
      </c>
      <c r="T199" s="9">
        <f t="shared" si="22"/>
        <v>50829</v>
      </c>
      <c r="U199" s="5">
        <f t="shared" si="23"/>
        <v>10525.87</v>
      </c>
    </row>
    <row r="200" spans="2:21" x14ac:dyDescent="0.2">
      <c r="B200" s="16">
        <f t="shared" si="26"/>
        <v>183</v>
      </c>
      <c r="C200" s="9">
        <f t="shared" si="27"/>
        <v>50859</v>
      </c>
      <c r="D200" s="6">
        <f>IFERROR((PPMT(المدخلات!$E$55/12,B200,$C$6,المدخلات!$E$54,-المدخلات!$E$65,0))," ")</f>
        <v>-6859.2157926472701</v>
      </c>
      <c r="E200" s="6">
        <f>IFERROR(((IPMT(المدخلات!$E$55/12,B200,$C$6,المدخلات!$E$54,-المدخلات!$E$65,0)))," ")</f>
        <v>-3458.319209522831</v>
      </c>
      <c r="F200" s="6">
        <f t="shared" si="29"/>
        <v>-852316.84280584753</v>
      </c>
      <c r="G200" s="6">
        <f t="shared" si="28"/>
        <v>-1035792.0625912809</v>
      </c>
      <c r="H200" s="6">
        <f t="shared" si="24"/>
        <v>-10317.535002170102</v>
      </c>
      <c r="I200" s="6">
        <f t="shared" si="25"/>
        <v>747683.15719415247</v>
      </c>
      <c r="J200" s="6" t="str">
        <f>IF(B200&lt;&gt;"",IF(AND(المدخلات!$H$54="سنوي",MOD(B200,12)=0),المدخلات!$J$54,IF(AND(المدخلات!$H$54="القسط (الدفعة) الاول",B200=1),المدخلات!$J$54,IF(المدخلات!$H$54="شهري",المدخلات!$J$54,""))),"")</f>
        <v/>
      </c>
      <c r="K200" s="6" t="str">
        <f>IF(B200&lt;&gt;"",IF(AND(المدخلات!$H$55="سنوي",MOD(B200,12)=0),المدخلات!$J$55,IF(AND(المدخلات!$H$55="القسط (الدفعة) الاول",B200=1),المدخلات!$J$55,IF(المدخلات!$H$55="شهري",المدخلات!$J$55,""))),"")</f>
        <v/>
      </c>
      <c r="L200" s="6">
        <f>IF(B200&lt;&gt;"",IF(AND(المدخلات!$H$56="سنوي",MOD(B200,12)=0),المدخلات!$J$56,IF(AND(المدخلات!$H$56="القسط (الدفعة) الاول",B200=1),المدخلات!$J$56,IF(المدخلات!$H$56="شهري",المدخلات!$J$56,""))),"")</f>
        <v>208.33333333333334</v>
      </c>
      <c r="M200" s="6" t="str">
        <f>IF(B200&lt;&gt;"",IF(AND(المدخلات!$H$57="سنوي",MOD(B200,12)=0),المدخلات!$J$57,IF(AND(المدخلات!$H$57="القسط (الدفعة) الاول",B200=1),المدخلات!$J$57,IF(المدخلات!$H$57="شهري",المدخلات!$J$57,""))),"")</f>
        <v/>
      </c>
      <c r="N200" s="6" t="str">
        <f>IF(B200&lt;&gt;"",IF(AND(المدخلات!$H$58="سنوي",MOD(B200,12)=0),المدخلات!$J$58,IF(AND(المدخلات!$H$58="القسط (الدفعة) الاول",B200=1),المدخلات!$J$58,IF(المدخلات!$H$58="شهري",المدخلات!$J$58,IF(AND(المدخلات!$H$58="End of the loan",B200=المدخلات!$E$58),المدخلات!$J$58,"")))),"")</f>
        <v/>
      </c>
      <c r="O200" s="6">
        <f t="shared" si="20"/>
        <v>208.33333333333334</v>
      </c>
      <c r="P200" s="4">
        <f t="shared" si="21"/>
        <v>10525.868335503435</v>
      </c>
      <c r="T200" s="9">
        <f t="shared" si="22"/>
        <v>50859</v>
      </c>
      <c r="U200" s="5">
        <f t="shared" si="23"/>
        <v>10525.87</v>
      </c>
    </row>
    <row r="201" spans="2:21" x14ac:dyDescent="0.2">
      <c r="B201" s="16">
        <f t="shared" si="26"/>
        <v>184</v>
      </c>
      <c r="C201" s="9">
        <f t="shared" si="27"/>
        <v>50890</v>
      </c>
      <c r="D201" s="6">
        <f>IFERROR((PPMT(المدخلات!$E$55/12,B201,$C$6,المدخلات!$E$54,-المدخلات!$E$65,0))," ")</f>
        <v>-6890.6538650302373</v>
      </c>
      <c r="E201" s="6">
        <f>IFERROR(((IPMT(المدخلات!$E$55/12,B201,$C$6,المدخلات!$E$54,-المدخلات!$E$65,0)))," ")</f>
        <v>-3426.8811371398647</v>
      </c>
      <c r="F201" s="6">
        <f t="shared" si="29"/>
        <v>-859207.49667087779</v>
      </c>
      <c r="G201" s="6">
        <f t="shared" si="28"/>
        <v>-1039218.9437284208</v>
      </c>
      <c r="H201" s="6">
        <f t="shared" si="24"/>
        <v>-10317.535002170102</v>
      </c>
      <c r="I201" s="6">
        <f t="shared" si="25"/>
        <v>740792.50332912221</v>
      </c>
      <c r="J201" s="6" t="str">
        <f>IF(B201&lt;&gt;"",IF(AND(المدخلات!$H$54="سنوي",MOD(B201,12)=0),المدخلات!$J$54,IF(AND(المدخلات!$H$54="القسط (الدفعة) الاول",B201=1),المدخلات!$J$54,IF(المدخلات!$H$54="شهري",المدخلات!$J$54,""))),"")</f>
        <v/>
      </c>
      <c r="K201" s="6" t="str">
        <f>IF(B201&lt;&gt;"",IF(AND(المدخلات!$H$55="سنوي",MOD(B201,12)=0),المدخلات!$J$55,IF(AND(المدخلات!$H$55="القسط (الدفعة) الاول",B201=1),المدخلات!$J$55,IF(المدخلات!$H$55="شهري",المدخلات!$J$55,""))),"")</f>
        <v/>
      </c>
      <c r="L201" s="6">
        <f>IF(B201&lt;&gt;"",IF(AND(المدخلات!$H$56="سنوي",MOD(B201,12)=0),المدخلات!$J$56,IF(AND(المدخلات!$H$56="القسط (الدفعة) الاول",B201=1),المدخلات!$J$56,IF(المدخلات!$H$56="شهري",المدخلات!$J$56,""))),"")</f>
        <v>208.33333333333334</v>
      </c>
      <c r="M201" s="6" t="str">
        <f>IF(B201&lt;&gt;"",IF(AND(المدخلات!$H$57="سنوي",MOD(B201,12)=0),المدخلات!$J$57,IF(AND(المدخلات!$H$57="القسط (الدفعة) الاول",B201=1),المدخلات!$J$57,IF(المدخلات!$H$57="شهري",المدخلات!$J$57,""))),"")</f>
        <v/>
      </c>
      <c r="N201" s="6" t="str">
        <f>IF(B201&lt;&gt;"",IF(AND(المدخلات!$H$58="سنوي",MOD(B201,12)=0),المدخلات!$J$58,IF(AND(المدخلات!$H$58="القسط (الدفعة) الاول",B201=1),المدخلات!$J$58,IF(المدخلات!$H$58="شهري",المدخلات!$J$58,IF(AND(المدخلات!$H$58="End of the loan",B201=المدخلات!$E$58),المدخلات!$J$58,"")))),"")</f>
        <v/>
      </c>
      <c r="O201" s="6">
        <f t="shared" si="20"/>
        <v>208.33333333333334</v>
      </c>
      <c r="P201" s="4">
        <f t="shared" si="21"/>
        <v>10525.868335503435</v>
      </c>
      <c r="T201" s="9">
        <f t="shared" si="22"/>
        <v>50890</v>
      </c>
      <c r="U201" s="5">
        <f t="shared" si="23"/>
        <v>10525.87</v>
      </c>
    </row>
    <row r="202" spans="2:21" x14ac:dyDescent="0.2">
      <c r="B202" s="16">
        <f t="shared" si="26"/>
        <v>185</v>
      </c>
      <c r="C202" s="9">
        <f t="shared" si="27"/>
        <v>50920</v>
      </c>
      <c r="D202" s="6">
        <f>IFERROR((PPMT(المدخلات!$E$55/12,B202,$C$6,المدخلات!$E$54,-المدخلات!$E$65,0))," ")</f>
        <v>-6922.2360285782925</v>
      </c>
      <c r="E202" s="6">
        <f>IFERROR(((IPMT(المدخلات!$E$55/12,B202,$C$6,المدخلات!$E$54,-المدخلات!$E$65,0)))," ")</f>
        <v>-3395.298973591809</v>
      </c>
      <c r="F202" s="6">
        <f t="shared" si="29"/>
        <v>-866129.73269945604</v>
      </c>
      <c r="G202" s="6">
        <f t="shared" si="28"/>
        <v>-1042614.2427020125</v>
      </c>
      <c r="H202" s="6">
        <f t="shared" si="24"/>
        <v>-10317.535002170102</v>
      </c>
      <c r="I202" s="6">
        <f t="shared" si="25"/>
        <v>733870.26730054396</v>
      </c>
      <c r="J202" s="6" t="str">
        <f>IF(B202&lt;&gt;"",IF(AND(المدخلات!$H$54="سنوي",MOD(B202,12)=0),المدخلات!$J$54,IF(AND(المدخلات!$H$54="القسط (الدفعة) الاول",B202=1),المدخلات!$J$54,IF(المدخلات!$H$54="شهري",المدخلات!$J$54,""))),"")</f>
        <v/>
      </c>
      <c r="K202" s="6" t="str">
        <f>IF(B202&lt;&gt;"",IF(AND(المدخلات!$H$55="سنوي",MOD(B202,12)=0),المدخلات!$J$55,IF(AND(المدخلات!$H$55="القسط (الدفعة) الاول",B202=1),المدخلات!$J$55,IF(المدخلات!$H$55="شهري",المدخلات!$J$55,""))),"")</f>
        <v/>
      </c>
      <c r="L202" s="6">
        <f>IF(B202&lt;&gt;"",IF(AND(المدخلات!$H$56="سنوي",MOD(B202,12)=0),المدخلات!$J$56,IF(AND(المدخلات!$H$56="القسط (الدفعة) الاول",B202=1),المدخلات!$J$56,IF(المدخلات!$H$56="شهري",المدخلات!$J$56,""))),"")</f>
        <v>208.33333333333334</v>
      </c>
      <c r="M202" s="6" t="str">
        <f>IF(B202&lt;&gt;"",IF(AND(المدخلات!$H$57="سنوي",MOD(B202,12)=0),المدخلات!$J$57,IF(AND(المدخلات!$H$57="القسط (الدفعة) الاول",B202=1),المدخلات!$J$57,IF(المدخلات!$H$57="شهري",المدخلات!$J$57,""))),"")</f>
        <v/>
      </c>
      <c r="N202" s="6" t="str">
        <f>IF(B202&lt;&gt;"",IF(AND(المدخلات!$H$58="سنوي",MOD(B202,12)=0),المدخلات!$J$58,IF(AND(المدخلات!$H$58="القسط (الدفعة) الاول",B202=1),المدخلات!$J$58,IF(المدخلات!$H$58="شهري",المدخلات!$J$58,IF(AND(المدخلات!$H$58="End of the loan",B202=المدخلات!$E$58),المدخلات!$J$58,"")))),"")</f>
        <v/>
      </c>
      <c r="O202" s="6">
        <f t="shared" si="20"/>
        <v>208.33333333333334</v>
      </c>
      <c r="P202" s="4">
        <f t="shared" si="21"/>
        <v>10525.868335503435</v>
      </c>
      <c r="T202" s="9">
        <f t="shared" si="22"/>
        <v>50920</v>
      </c>
      <c r="U202" s="5">
        <f t="shared" si="23"/>
        <v>10525.87</v>
      </c>
    </row>
    <row r="203" spans="2:21" x14ac:dyDescent="0.2">
      <c r="B203" s="16">
        <f t="shared" si="26"/>
        <v>186</v>
      </c>
      <c r="C203" s="9">
        <f t="shared" si="27"/>
        <v>50951</v>
      </c>
      <c r="D203" s="6">
        <f>IFERROR((PPMT(المدخلات!$E$55/12,B203,$C$6,المدخلات!$E$54,-المدخلات!$E$65,0))," ")</f>
        <v>-6953.9629437092754</v>
      </c>
      <c r="E203" s="6">
        <f>IFERROR(((IPMT(المدخلات!$E$55/12,B203,$C$6,المدخلات!$E$54,-المدخلات!$E$65,0)))," ")</f>
        <v>-3363.5720584608248</v>
      </c>
      <c r="F203" s="6">
        <f t="shared" si="29"/>
        <v>-873083.69564316527</v>
      </c>
      <c r="G203" s="6">
        <f t="shared" si="28"/>
        <v>-1045977.8147604733</v>
      </c>
      <c r="H203" s="6">
        <f t="shared" si="24"/>
        <v>-10317.5350021701</v>
      </c>
      <c r="I203" s="6">
        <f t="shared" si="25"/>
        <v>726916.30435683473</v>
      </c>
      <c r="J203" s="6" t="str">
        <f>IF(B203&lt;&gt;"",IF(AND(المدخلات!$H$54="سنوي",MOD(B203,12)=0),المدخلات!$J$54,IF(AND(المدخلات!$H$54="القسط (الدفعة) الاول",B203=1),المدخلات!$J$54,IF(المدخلات!$H$54="شهري",المدخلات!$J$54,""))),"")</f>
        <v/>
      </c>
      <c r="K203" s="6" t="str">
        <f>IF(B203&lt;&gt;"",IF(AND(المدخلات!$H$55="سنوي",MOD(B203,12)=0),المدخلات!$J$55,IF(AND(المدخلات!$H$55="القسط (الدفعة) الاول",B203=1),المدخلات!$J$55,IF(المدخلات!$H$55="شهري",المدخلات!$J$55,""))),"")</f>
        <v/>
      </c>
      <c r="L203" s="6">
        <f>IF(B203&lt;&gt;"",IF(AND(المدخلات!$H$56="سنوي",MOD(B203,12)=0),المدخلات!$J$56,IF(AND(المدخلات!$H$56="القسط (الدفعة) الاول",B203=1),المدخلات!$J$56,IF(المدخلات!$H$56="شهري",المدخلات!$J$56,""))),"")</f>
        <v>208.33333333333334</v>
      </c>
      <c r="M203" s="6" t="str">
        <f>IF(B203&lt;&gt;"",IF(AND(المدخلات!$H$57="سنوي",MOD(B203,12)=0),المدخلات!$J$57,IF(AND(المدخلات!$H$57="القسط (الدفعة) الاول",B203=1),المدخلات!$J$57,IF(المدخلات!$H$57="شهري",المدخلات!$J$57,""))),"")</f>
        <v/>
      </c>
      <c r="N203" s="6" t="str">
        <f>IF(B203&lt;&gt;"",IF(AND(المدخلات!$H$58="سنوي",MOD(B203,12)=0),المدخلات!$J$58,IF(AND(المدخلات!$H$58="القسط (الدفعة) الاول",B203=1),المدخلات!$J$58,IF(المدخلات!$H$58="شهري",المدخلات!$J$58,IF(AND(المدخلات!$H$58="End of the loan",B203=المدخلات!$E$58),المدخلات!$J$58,"")))),"")</f>
        <v/>
      </c>
      <c r="O203" s="6">
        <f t="shared" si="20"/>
        <v>208.33333333333334</v>
      </c>
      <c r="P203" s="4">
        <f t="shared" si="21"/>
        <v>10525.868335503434</v>
      </c>
      <c r="T203" s="9">
        <f t="shared" si="22"/>
        <v>50951</v>
      </c>
      <c r="U203" s="5">
        <f t="shared" si="23"/>
        <v>10525.87</v>
      </c>
    </row>
    <row r="204" spans="2:21" x14ac:dyDescent="0.2">
      <c r="B204" s="16">
        <f t="shared" si="26"/>
        <v>187</v>
      </c>
      <c r="C204" s="9">
        <f t="shared" si="27"/>
        <v>50981</v>
      </c>
      <c r="D204" s="6">
        <f>IFERROR((PPMT(المدخلات!$E$55/12,B204,$C$6,المدخلات!$E$54,-المدخلات!$E$65,0))," ")</f>
        <v>-6985.8352738679441</v>
      </c>
      <c r="E204" s="6">
        <f>IFERROR(((IPMT(المدخلات!$E$55/12,B204,$C$6,المدخلات!$E$54,-المدخلات!$E$65,0)))," ")</f>
        <v>-3331.6997283021578</v>
      </c>
      <c r="F204" s="6">
        <f t="shared" si="29"/>
        <v>-880069.5309170332</v>
      </c>
      <c r="G204" s="6">
        <f t="shared" si="28"/>
        <v>-1049309.5144887755</v>
      </c>
      <c r="H204" s="6">
        <f t="shared" si="24"/>
        <v>-10317.535002170102</v>
      </c>
      <c r="I204" s="6">
        <f t="shared" si="25"/>
        <v>719930.4690829668</v>
      </c>
      <c r="J204" s="6" t="str">
        <f>IF(B204&lt;&gt;"",IF(AND(المدخلات!$H$54="سنوي",MOD(B204,12)=0),المدخلات!$J$54,IF(AND(المدخلات!$H$54="القسط (الدفعة) الاول",B204=1),المدخلات!$J$54,IF(المدخلات!$H$54="شهري",المدخلات!$J$54,""))),"")</f>
        <v/>
      </c>
      <c r="K204" s="6" t="str">
        <f>IF(B204&lt;&gt;"",IF(AND(المدخلات!$H$55="سنوي",MOD(B204,12)=0),المدخلات!$J$55,IF(AND(المدخلات!$H$55="القسط (الدفعة) الاول",B204=1),المدخلات!$J$55,IF(المدخلات!$H$55="شهري",المدخلات!$J$55,""))),"")</f>
        <v/>
      </c>
      <c r="L204" s="6">
        <f>IF(B204&lt;&gt;"",IF(AND(المدخلات!$H$56="سنوي",MOD(B204,12)=0),المدخلات!$J$56,IF(AND(المدخلات!$H$56="القسط (الدفعة) الاول",B204=1),المدخلات!$J$56,IF(المدخلات!$H$56="شهري",المدخلات!$J$56,""))),"")</f>
        <v>208.33333333333334</v>
      </c>
      <c r="M204" s="6" t="str">
        <f>IF(B204&lt;&gt;"",IF(AND(المدخلات!$H$57="سنوي",MOD(B204,12)=0),المدخلات!$J$57,IF(AND(المدخلات!$H$57="القسط (الدفعة) الاول",B204=1),المدخلات!$J$57,IF(المدخلات!$H$57="شهري",المدخلات!$J$57,""))),"")</f>
        <v/>
      </c>
      <c r="N204" s="6" t="str">
        <f>IF(B204&lt;&gt;"",IF(AND(المدخلات!$H$58="سنوي",MOD(B204,12)=0),المدخلات!$J$58,IF(AND(المدخلات!$H$58="القسط (الدفعة) الاول",B204=1),المدخلات!$J$58,IF(المدخلات!$H$58="شهري",المدخلات!$J$58,IF(AND(المدخلات!$H$58="End of the loan",B204=المدخلات!$E$58),المدخلات!$J$58,"")))),"")</f>
        <v/>
      </c>
      <c r="O204" s="6">
        <f t="shared" si="20"/>
        <v>208.33333333333334</v>
      </c>
      <c r="P204" s="4">
        <f t="shared" si="21"/>
        <v>10525.868335503435</v>
      </c>
      <c r="T204" s="9">
        <f t="shared" si="22"/>
        <v>50981</v>
      </c>
      <c r="U204" s="5">
        <f t="shared" si="23"/>
        <v>10525.87</v>
      </c>
    </row>
    <row r="205" spans="2:21" x14ac:dyDescent="0.2">
      <c r="B205" s="16">
        <f t="shared" si="26"/>
        <v>188</v>
      </c>
      <c r="C205" s="9">
        <f t="shared" si="27"/>
        <v>51012</v>
      </c>
      <c r="D205" s="6">
        <f>IFERROR((PPMT(المدخلات!$E$55/12,B205,$C$6,المدخلات!$E$54,-المدخلات!$E$65,0))," ")</f>
        <v>-7017.8536855398379</v>
      </c>
      <c r="E205" s="6">
        <f>IFERROR(((IPMT(المدخلات!$E$55/12,B205,$C$6,المدخلات!$E$54,-المدخلات!$E$65,0)))," ")</f>
        <v>-3299.6813166302627</v>
      </c>
      <c r="F205" s="6">
        <f t="shared" si="29"/>
        <v>-887087.384602573</v>
      </c>
      <c r="G205" s="6">
        <f t="shared" si="28"/>
        <v>-1052609.1958054057</v>
      </c>
      <c r="H205" s="6">
        <f t="shared" si="24"/>
        <v>-10317.535002170102</v>
      </c>
      <c r="I205" s="6">
        <f t="shared" si="25"/>
        <v>712912.615397427</v>
      </c>
      <c r="J205" s="6" t="str">
        <f>IF(B205&lt;&gt;"",IF(AND(المدخلات!$H$54="سنوي",MOD(B205,12)=0),المدخلات!$J$54,IF(AND(المدخلات!$H$54="القسط (الدفعة) الاول",B205=1),المدخلات!$J$54,IF(المدخلات!$H$54="شهري",المدخلات!$J$54,""))),"")</f>
        <v/>
      </c>
      <c r="K205" s="6" t="str">
        <f>IF(B205&lt;&gt;"",IF(AND(المدخلات!$H$55="سنوي",MOD(B205,12)=0),المدخلات!$J$55,IF(AND(المدخلات!$H$55="القسط (الدفعة) الاول",B205=1),المدخلات!$J$55,IF(المدخلات!$H$55="شهري",المدخلات!$J$55,""))),"")</f>
        <v/>
      </c>
      <c r="L205" s="6">
        <f>IF(B205&lt;&gt;"",IF(AND(المدخلات!$H$56="سنوي",MOD(B205,12)=0),المدخلات!$J$56,IF(AND(المدخلات!$H$56="القسط (الدفعة) الاول",B205=1),المدخلات!$J$56,IF(المدخلات!$H$56="شهري",المدخلات!$J$56,""))),"")</f>
        <v>208.33333333333334</v>
      </c>
      <c r="M205" s="6" t="str">
        <f>IF(B205&lt;&gt;"",IF(AND(المدخلات!$H$57="سنوي",MOD(B205,12)=0),المدخلات!$J$57,IF(AND(المدخلات!$H$57="القسط (الدفعة) الاول",B205=1),المدخلات!$J$57,IF(المدخلات!$H$57="شهري",المدخلات!$J$57,""))),"")</f>
        <v/>
      </c>
      <c r="N205" s="6" t="str">
        <f>IF(B205&lt;&gt;"",IF(AND(المدخلات!$H$58="سنوي",MOD(B205,12)=0),المدخلات!$J$58,IF(AND(المدخلات!$H$58="القسط (الدفعة) الاول",B205=1),المدخلات!$J$58,IF(المدخلات!$H$58="شهري",المدخلات!$J$58,IF(AND(المدخلات!$H$58="End of the loan",B205=المدخلات!$E$58),المدخلات!$J$58,"")))),"")</f>
        <v/>
      </c>
      <c r="O205" s="6">
        <f t="shared" si="20"/>
        <v>208.33333333333334</v>
      </c>
      <c r="P205" s="4">
        <f t="shared" si="21"/>
        <v>10525.868335503435</v>
      </c>
      <c r="T205" s="9">
        <f t="shared" si="22"/>
        <v>51012</v>
      </c>
      <c r="U205" s="5">
        <f t="shared" si="23"/>
        <v>10525.87</v>
      </c>
    </row>
    <row r="206" spans="2:21" x14ac:dyDescent="0.2">
      <c r="B206" s="16">
        <f t="shared" si="26"/>
        <v>189</v>
      </c>
      <c r="C206" s="9">
        <f t="shared" si="27"/>
        <v>51043</v>
      </c>
      <c r="D206" s="6">
        <f>IFERROR((PPMT(المدخلات!$E$55/12,B206,$C$6,المدخلات!$E$54,-المدخلات!$E$65,0))," ")</f>
        <v>-7050.0188482652284</v>
      </c>
      <c r="E206" s="6">
        <f>IFERROR(((IPMT(المدخلات!$E$55/12,B206,$C$6,المدخلات!$E$54,-المدخلات!$E$65,0)))," ")</f>
        <v>-3267.5161539048722</v>
      </c>
      <c r="F206" s="6">
        <f t="shared" si="29"/>
        <v>-894137.40345083817</v>
      </c>
      <c r="G206" s="6">
        <f t="shared" si="28"/>
        <v>-1055876.7119593106</v>
      </c>
      <c r="H206" s="6">
        <f t="shared" si="24"/>
        <v>-10317.535002170102</v>
      </c>
      <c r="I206" s="6">
        <f t="shared" si="25"/>
        <v>705862.59654916183</v>
      </c>
      <c r="J206" s="6" t="str">
        <f>IF(B206&lt;&gt;"",IF(AND(المدخلات!$H$54="سنوي",MOD(B206,12)=0),المدخلات!$J$54,IF(AND(المدخلات!$H$54="القسط (الدفعة) الاول",B206=1),المدخلات!$J$54,IF(المدخلات!$H$54="شهري",المدخلات!$J$54,""))),"")</f>
        <v/>
      </c>
      <c r="K206" s="6" t="str">
        <f>IF(B206&lt;&gt;"",IF(AND(المدخلات!$H$55="سنوي",MOD(B206,12)=0),المدخلات!$J$55,IF(AND(المدخلات!$H$55="القسط (الدفعة) الاول",B206=1),المدخلات!$J$55,IF(المدخلات!$H$55="شهري",المدخلات!$J$55,""))),"")</f>
        <v/>
      </c>
      <c r="L206" s="6">
        <f>IF(B206&lt;&gt;"",IF(AND(المدخلات!$H$56="سنوي",MOD(B206,12)=0),المدخلات!$J$56,IF(AND(المدخلات!$H$56="القسط (الدفعة) الاول",B206=1),المدخلات!$J$56,IF(المدخلات!$H$56="شهري",المدخلات!$J$56,""))),"")</f>
        <v>208.33333333333334</v>
      </c>
      <c r="M206" s="6" t="str">
        <f>IF(B206&lt;&gt;"",IF(AND(المدخلات!$H$57="سنوي",MOD(B206,12)=0),المدخلات!$J$57,IF(AND(المدخلات!$H$57="القسط (الدفعة) الاول",B206=1),المدخلات!$J$57,IF(المدخلات!$H$57="شهري",المدخلات!$J$57,""))),"")</f>
        <v/>
      </c>
      <c r="N206" s="6" t="str">
        <f>IF(B206&lt;&gt;"",IF(AND(المدخلات!$H$58="سنوي",MOD(B206,12)=0),المدخلات!$J$58,IF(AND(المدخلات!$H$58="القسط (الدفعة) الاول",B206=1),المدخلات!$J$58,IF(المدخلات!$H$58="شهري",المدخلات!$J$58,IF(AND(المدخلات!$H$58="End of the loan",B206=المدخلات!$E$58),المدخلات!$J$58,"")))),"")</f>
        <v/>
      </c>
      <c r="O206" s="6">
        <f t="shared" si="20"/>
        <v>208.33333333333334</v>
      </c>
      <c r="P206" s="4">
        <f t="shared" si="21"/>
        <v>10525.868335503435</v>
      </c>
      <c r="T206" s="9">
        <f t="shared" si="22"/>
        <v>51043</v>
      </c>
      <c r="U206" s="5">
        <f t="shared" si="23"/>
        <v>10525.87</v>
      </c>
    </row>
    <row r="207" spans="2:21" x14ac:dyDescent="0.2">
      <c r="B207" s="16">
        <f t="shared" si="26"/>
        <v>190</v>
      </c>
      <c r="C207" s="9">
        <f t="shared" si="27"/>
        <v>51073</v>
      </c>
      <c r="D207" s="6">
        <f>IFERROR((PPMT(المدخلات!$E$55/12,B207,$C$6,المدخلات!$E$54,-المدخلات!$E$65,0))," ")</f>
        <v>-7082.3314346531115</v>
      </c>
      <c r="E207" s="6">
        <f>IFERROR(((IPMT(المدخلات!$E$55/12,B207,$C$6,المدخلات!$E$54,-المدخلات!$E$65,0)))," ")</f>
        <v>-3235.20356751699</v>
      </c>
      <c r="F207" s="6">
        <f t="shared" si="29"/>
        <v>-901219.73488549131</v>
      </c>
      <c r="G207" s="6">
        <f t="shared" si="28"/>
        <v>-1059111.9155268276</v>
      </c>
      <c r="H207" s="6">
        <f t="shared" si="24"/>
        <v>-10317.535002170102</v>
      </c>
      <c r="I207" s="6">
        <f t="shared" si="25"/>
        <v>698780.26511450869</v>
      </c>
      <c r="J207" s="6" t="str">
        <f>IF(B207&lt;&gt;"",IF(AND(المدخلات!$H$54="سنوي",MOD(B207,12)=0),المدخلات!$J$54,IF(AND(المدخلات!$H$54="القسط (الدفعة) الاول",B207=1),المدخلات!$J$54,IF(المدخلات!$H$54="شهري",المدخلات!$J$54,""))),"")</f>
        <v/>
      </c>
      <c r="K207" s="6" t="str">
        <f>IF(B207&lt;&gt;"",IF(AND(المدخلات!$H$55="سنوي",MOD(B207,12)=0),المدخلات!$J$55,IF(AND(المدخلات!$H$55="القسط (الدفعة) الاول",B207=1),المدخلات!$J$55,IF(المدخلات!$H$55="شهري",المدخلات!$J$55,""))),"")</f>
        <v/>
      </c>
      <c r="L207" s="6">
        <f>IF(B207&lt;&gt;"",IF(AND(المدخلات!$H$56="سنوي",MOD(B207,12)=0),المدخلات!$J$56,IF(AND(المدخلات!$H$56="القسط (الدفعة) الاول",B207=1),المدخلات!$J$56,IF(المدخلات!$H$56="شهري",المدخلات!$J$56,""))),"")</f>
        <v>208.33333333333334</v>
      </c>
      <c r="M207" s="6" t="str">
        <f>IF(B207&lt;&gt;"",IF(AND(المدخلات!$H$57="سنوي",MOD(B207,12)=0),المدخلات!$J$57,IF(AND(المدخلات!$H$57="القسط (الدفعة) الاول",B207=1),المدخلات!$J$57,IF(المدخلات!$H$57="شهري",المدخلات!$J$57,""))),"")</f>
        <v/>
      </c>
      <c r="N207" s="6" t="str">
        <f>IF(B207&lt;&gt;"",IF(AND(المدخلات!$H$58="سنوي",MOD(B207,12)=0),المدخلات!$J$58,IF(AND(المدخلات!$H$58="القسط (الدفعة) الاول",B207=1),المدخلات!$J$58,IF(المدخلات!$H$58="شهري",المدخلات!$J$58,IF(AND(المدخلات!$H$58="End of the loan",B207=المدخلات!$E$58),المدخلات!$J$58,"")))),"")</f>
        <v/>
      </c>
      <c r="O207" s="6">
        <f t="shared" si="20"/>
        <v>208.33333333333334</v>
      </c>
      <c r="P207" s="4">
        <f t="shared" si="21"/>
        <v>10525.868335503435</v>
      </c>
      <c r="T207" s="9">
        <f t="shared" si="22"/>
        <v>51073</v>
      </c>
      <c r="U207" s="5">
        <f t="shared" si="23"/>
        <v>10525.87</v>
      </c>
    </row>
    <row r="208" spans="2:21" x14ac:dyDescent="0.2">
      <c r="B208" s="16">
        <f t="shared" si="26"/>
        <v>191</v>
      </c>
      <c r="C208" s="9">
        <f t="shared" si="27"/>
        <v>51104</v>
      </c>
      <c r="D208" s="6">
        <f>IFERROR((PPMT(المدخلات!$E$55/12,B208,$C$6,المدخلات!$E$54,-المدخلات!$E$65,0))," ")</f>
        <v>-7114.7921203952719</v>
      </c>
      <c r="E208" s="6">
        <f>IFERROR(((IPMT(المدخلات!$E$55/12,B208,$C$6,المدخلات!$E$54,-المدخلات!$E$65,0)))," ")</f>
        <v>-3202.74288177483</v>
      </c>
      <c r="F208" s="6">
        <f t="shared" si="29"/>
        <v>-908334.52700588654</v>
      </c>
      <c r="G208" s="6">
        <f t="shared" si="28"/>
        <v>-1062314.6584086025</v>
      </c>
      <c r="H208" s="6">
        <f t="shared" si="24"/>
        <v>-10317.535002170102</v>
      </c>
      <c r="I208" s="6">
        <f t="shared" si="25"/>
        <v>691665.47299411346</v>
      </c>
      <c r="J208" s="6" t="str">
        <f>IF(B208&lt;&gt;"",IF(AND(المدخلات!$H$54="سنوي",MOD(B208,12)=0),المدخلات!$J$54,IF(AND(المدخلات!$H$54="القسط (الدفعة) الاول",B208=1),المدخلات!$J$54,IF(المدخلات!$H$54="شهري",المدخلات!$J$54,""))),"")</f>
        <v/>
      </c>
      <c r="K208" s="6" t="str">
        <f>IF(B208&lt;&gt;"",IF(AND(المدخلات!$H$55="سنوي",MOD(B208,12)=0),المدخلات!$J$55,IF(AND(المدخلات!$H$55="القسط (الدفعة) الاول",B208=1),المدخلات!$J$55,IF(المدخلات!$H$55="شهري",المدخلات!$J$55,""))),"")</f>
        <v/>
      </c>
      <c r="L208" s="6">
        <f>IF(B208&lt;&gt;"",IF(AND(المدخلات!$H$56="سنوي",MOD(B208,12)=0),المدخلات!$J$56,IF(AND(المدخلات!$H$56="القسط (الدفعة) الاول",B208=1),المدخلات!$J$56,IF(المدخلات!$H$56="شهري",المدخلات!$J$56,""))),"")</f>
        <v>208.33333333333334</v>
      </c>
      <c r="M208" s="6" t="str">
        <f>IF(B208&lt;&gt;"",IF(AND(المدخلات!$H$57="سنوي",MOD(B208,12)=0),المدخلات!$J$57,IF(AND(المدخلات!$H$57="القسط (الدفعة) الاول",B208=1),المدخلات!$J$57,IF(المدخلات!$H$57="شهري",المدخلات!$J$57,""))),"")</f>
        <v/>
      </c>
      <c r="N208" s="6" t="str">
        <f>IF(B208&lt;&gt;"",IF(AND(المدخلات!$H$58="سنوي",MOD(B208,12)=0),المدخلات!$J$58,IF(AND(المدخلات!$H$58="القسط (الدفعة) الاول",B208=1),المدخلات!$J$58,IF(المدخلات!$H$58="شهري",المدخلات!$J$58,IF(AND(المدخلات!$H$58="End of the loan",B208=المدخلات!$E$58),المدخلات!$J$58,"")))),"")</f>
        <v/>
      </c>
      <c r="O208" s="6">
        <f t="shared" si="20"/>
        <v>208.33333333333334</v>
      </c>
      <c r="P208" s="4">
        <f t="shared" si="21"/>
        <v>10525.868335503435</v>
      </c>
      <c r="T208" s="9">
        <f t="shared" si="22"/>
        <v>51104</v>
      </c>
      <c r="U208" s="5">
        <f t="shared" si="23"/>
        <v>10525.87</v>
      </c>
    </row>
    <row r="209" spans="2:21" x14ac:dyDescent="0.2">
      <c r="B209" s="16">
        <f t="shared" si="26"/>
        <v>192</v>
      </c>
      <c r="C209" s="9">
        <f t="shared" si="27"/>
        <v>51134</v>
      </c>
      <c r="D209" s="6">
        <f>IFERROR((PPMT(المدخلات!$E$55/12,B209,$C$6,المدخلات!$E$54,-المدخلات!$E$65,0))," ")</f>
        <v>-7147.4015842804165</v>
      </c>
      <c r="E209" s="6">
        <f>IFERROR(((IPMT(المدخلات!$E$55/12,B209,$C$6,المدخلات!$E$54,-المدخلات!$E$65,0)))," ")</f>
        <v>-3170.1334178896846</v>
      </c>
      <c r="F209" s="6">
        <f t="shared" si="29"/>
        <v>-915481.92859016696</v>
      </c>
      <c r="G209" s="6">
        <f t="shared" si="28"/>
        <v>-1065484.7918264922</v>
      </c>
      <c r="H209" s="6">
        <f t="shared" si="24"/>
        <v>-10317.535002170102</v>
      </c>
      <c r="I209" s="6">
        <f t="shared" si="25"/>
        <v>684518.07140983304</v>
      </c>
      <c r="J209" s="6" t="str">
        <f>IF(B209&lt;&gt;"",IF(AND(المدخلات!$H$54="سنوي",MOD(B209,12)=0),المدخلات!$J$54,IF(AND(المدخلات!$H$54="القسط (الدفعة) الاول",B209=1),المدخلات!$J$54,IF(المدخلات!$H$54="شهري",المدخلات!$J$54,""))),"")</f>
        <v/>
      </c>
      <c r="K209" s="6" t="str">
        <f>IF(B209&lt;&gt;"",IF(AND(المدخلات!$H$55="سنوي",MOD(B209,12)=0),المدخلات!$J$55,IF(AND(المدخلات!$H$55="القسط (الدفعة) الاول",B209=1),المدخلات!$J$55,IF(المدخلات!$H$55="شهري",المدخلات!$J$55,""))),"")</f>
        <v/>
      </c>
      <c r="L209" s="6">
        <f>IF(B209&lt;&gt;"",IF(AND(المدخلات!$H$56="سنوي",MOD(B209,12)=0),المدخلات!$J$56,IF(AND(المدخلات!$H$56="القسط (الدفعة) الاول",B209=1),المدخلات!$J$56,IF(المدخلات!$H$56="شهري",المدخلات!$J$56,""))),"")</f>
        <v>208.33333333333334</v>
      </c>
      <c r="M209" s="6" t="str">
        <f>IF(B209&lt;&gt;"",IF(AND(المدخلات!$H$57="سنوي",MOD(B209,12)=0),المدخلات!$J$57,IF(AND(المدخلات!$H$57="القسط (الدفعة) الاول",B209=1),المدخلات!$J$57,IF(المدخلات!$H$57="شهري",المدخلات!$J$57,""))),"")</f>
        <v/>
      </c>
      <c r="N209" s="6">
        <f>IF(B209&lt;&gt;"",IF(AND(المدخلات!$H$58="سنوي",MOD(B209,12)=0),المدخلات!$J$58,IF(AND(المدخلات!$H$58="القسط (الدفعة) الاول",B209=1),المدخلات!$J$58,IF(المدخلات!$H$58="شهري",المدخلات!$J$58,IF(AND(المدخلات!$H$58="End of the loan",B209=المدخلات!$E$58),المدخلات!$J$58,"")))),"")</f>
        <v>0</v>
      </c>
      <c r="O209" s="6">
        <f t="shared" ref="O209:O272" si="30">IF(B209&lt;&gt;"",SUM(J209:N209),"")</f>
        <v>208.33333333333334</v>
      </c>
      <c r="P209" s="4">
        <f t="shared" ref="P209:P272" si="31">IF(B209&lt;&gt;"",(-H209+O209),"")</f>
        <v>10525.868335503435</v>
      </c>
      <c r="T209" s="9">
        <f t="shared" si="22"/>
        <v>51134</v>
      </c>
      <c r="U209" s="5">
        <f t="shared" si="23"/>
        <v>10525.87</v>
      </c>
    </row>
    <row r="210" spans="2:21" x14ac:dyDescent="0.2">
      <c r="B210" s="16">
        <f t="shared" si="26"/>
        <v>193</v>
      </c>
      <c r="C210" s="9">
        <f t="shared" si="27"/>
        <v>51165</v>
      </c>
      <c r="D210" s="6">
        <f>IFERROR((PPMT(المدخلات!$E$55/12,B210,$C$6,المدخلات!$E$54,-المدخلات!$E$65,0))," ")</f>
        <v>-7180.1605082083697</v>
      </c>
      <c r="E210" s="6">
        <f>IFERROR(((IPMT(المدخلات!$E$55/12,B210,$C$6,المدخلات!$E$54,-المدخلات!$E$65,0)))," ")</f>
        <v>-3137.3744939617327</v>
      </c>
      <c r="F210" s="6">
        <f t="shared" si="29"/>
        <v>-922662.08909837529</v>
      </c>
      <c r="G210" s="6">
        <f t="shared" si="28"/>
        <v>-1068622.1663204539</v>
      </c>
      <c r="H210" s="6">
        <f t="shared" si="24"/>
        <v>-10317.535002170102</v>
      </c>
      <c r="I210" s="6">
        <f t="shared" si="25"/>
        <v>677337.91090162471</v>
      </c>
      <c r="J210" s="6" t="str">
        <f>IF(B210&lt;&gt;"",IF(AND(المدخلات!$H$54="سنوي",MOD(B210,12)=0),المدخلات!$J$54,IF(AND(المدخلات!$H$54="القسط (الدفعة) الاول",B210=1),المدخلات!$J$54,IF(المدخلات!$H$54="شهري",المدخلات!$J$54,""))),"")</f>
        <v/>
      </c>
      <c r="K210" s="6" t="str">
        <f>IF(B210&lt;&gt;"",IF(AND(المدخلات!$H$55="سنوي",MOD(B210,12)=0),المدخلات!$J$55,IF(AND(المدخلات!$H$55="القسط (الدفعة) الاول",B210=1),المدخلات!$J$55,IF(المدخلات!$H$55="شهري",المدخلات!$J$55,""))),"")</f>
        <v/>
      </c>
      <c r="L210" s="6">
        <f>IF(B210&lt;&gt;"",IF(AND(المدخلات!$H$56="سنوي",MOD(B210,12)=0),المدخلات!$J$56,IF(AND(المدخلات!$H$56="القسط (الدفعة) الاول",B210=1),المدخلات!$J$56,IF(المدخلات!$H$56="شهري",المدخلات!$J$56,""))),"")</f>
        <v>208.33333333333334</v>
      </c>
      <c r="M210" s="6" t="str">
        <f>IF(B210&lt;&gt;"",IF(AND(المدخلات!$H$57="سنوي",MOD(B210,12)=0),المدخلات!$J$57,IF(AND(المدخلات!$H$57="القسط (الدفعة) الاول",B210=1),المدخلات!$J$57,IF(المدخلات!$H$57="شهري",المدخلات!$J$57,""))),"")</f>
        <v/>
      </c>
      <c r="N210" s="6" t="str">
        <f>IF(B210&lt;&gt;"",IF(AND(المدخلات!$H$58="سنوي",MOD(B210,12)=0),المدخلات!$J$58,IF(AND(المدخلات!$H$58="القسط (الدفعة) الاول",B210=1),المدخلات!$J$58,IF(المدخلات!$H$58="شهري",المدخلات!$J$58,IF(AND(المدخلات!$H$58="End of the loan",B210=المدخلات!$E$58),المدخلات!$J$58,"")))),"")</f>
        <v/>
      </c>
      <c r="O210" s="6">
        <f t="shared" si="30"/>
        <v>208.33333333333334</v>
      </c>
      <c r="P210" s="4">
        <f t="shared" si="31"/>
        <v>10525.868335503435</v>
      </c>
      <c r="T210" s="9">
        <f t="shared" ref="T210:T273" si="32">C210</f>
        <v>51165</v>
      </c>
      <c r="U210" s="5">
        <f t="shared" ref="U210:U273" si="33">IFERROR(ROUND(_xlfn.IFNA(VLOOKUP(T210,$C$18:$P$385,14,0),0),2)," ")</f>
        <v>10525.87</v>
      </c>
    </row>
    <row r="211" spans="2:21" x14ac:dyDescent="0.2">
      <c r="B211" s="16">
        <f t="shared" si="26"/>
        <v>194</v>
      </c>
      <c r="C211" s="9">
        <f t="shared" si="27"/>
        <v>51195</v>
      </c>
      <c r="D211" s="6">
        <f>IFERROR((PPMT(المدخلات!$E$55/12,B211,$C$6,المدخلات!$E$54,-المدخلات!$E$65,0))," ")</f>
        <v>-7213.0695772043237</v>
      </c>
      <c r="E211" s="6">
        <f>IFERROR(((IPMT(المدخلات!$E$55/12,B211,$C$6,المدخلات!$E$54,-المدخلات!$E$65,0)))," ")</f>
        <v>-3104.4654249657779</v>
      </c>
      <c r="F211" s="6">
        <f t="shared" si="29"/>
        <v>-929875.15867557959</v>
      </c>
      <c r="G211" s="6">
        <f t="shared" si="28"/>
        <v>-1071726.6317454197</v>
      </c>
      <c r="H211" s="6">
        <f t="shared" ref="H211:H274" si="34">+IF(B211=$C$6,(-$C$13+IFERROR(D211+E211,"")),IFERROR(D211+E211,""))</f>
        <v>-10317.535002170102</v>
      </c>
      <c r="I211" s="6">
        <f t="shared" ref="I211:I274" si="35">+IFERROR($C$8+F211,"")</f>
        <v>670124.84132442041</v>
      </c>
      <c r="J211" s="6" t="str">
        <f>IF(B211&lt;&gt;"",IF(AND(المدخلات!$H$54="سنوي",MOD(B211,12)=0),المدخلات!$J$54,IF(AND(المدخلات!$H$54="القسط (الدفعة) الاول",B211=1),المدخلات!$J$54,IF(المدخلات!$H$54="شهري",المدخلات!$J$54,""))),"")</f>
        <v/>
      </c>
      <c r="K211" s="6" t="str">
        <f>IF(B211&lt;&gt;"",IF(AND(المدخلات!$H$55="سنوي",MOD(B211,12)=0),المدخلات!$J$55,IF(AND(المدخلات!$H$55="القسط (الدفعة) الاول",B211=1),المدخلات!$J$55,IF(المدخلات!$H$55="شهري",المدخلات!$J$55,""))),"")</f>
        <v/>
      </c>
      <c r="L211" s="6">
        <f>IF(B211&lt;&gt;"",IF(AND(المدخلات!$H$56="سنوي",MOD(B211,12)=0),المدخلات!$J$56,IF(AND(المدخلات!$H$56="القسط (الدفعة) الاول",B211=1),المدخلات!$J$56,IF(المدخلات!$H$56="شهري",المدخلات!$J$56,""))),"")</f>
        <v>208.33333333333334</v>
      </c>
      <c r="M211" s="6" t="str">
        <f>IF(B211&lt;&gt;"",IF(AND(المدخلات!$H$57="سنوي",MOD(B211,12)=0),المدخلات!$J$57,IF(AND(المدخلات!$H$57="القسط (الدفعة) الاول",B211=1),المدخلات!$J$57,IF(المدخلات!$H$57="شهري",المدخلات!$J$57,""))),"")</f>
        <v/>
      </c>
      <c r="N211" s="6" t="str">
        <f>IF(B211&lt;&gt;"",IF(AND(المدخلات!$H$58="سنوي",MOD(B211,12)=0),المدخلات!$J$58,IF(AND(المدخلات!$H$58="القسط (الدفعة) الاول",B211=1),المدخلات!$J$58,IF(المدخلات!$H$58="شهري",المدخلات!$J$58,IF(AND(المدخلات!$H$58="End of the loan",B211=المدخلات!$E$58),المدخلات!$J$58,"")))),"")</f>
        <v/>
      </c>
      <c r="O211" s="6">
        <f t="shared" si="30"/>
        <v>208.33333333333334</v>
      </c>
      <c r="P211" s="4">
        <f t="shared" si="31"/>
        <v>10525.868335503435</v>
      </c>
      <c r="T211" s="9">
        <f t="shared" si="32"/>
        <v>51195</v>
      </c>
      <c r="U211" s="5">
        <f t="shared" si="33"/>
        <v>10525.87</v>
      </c>
    </row>
    <row r="212" spans="2:21" x14ac:dyDescent="0.2">
      <c r="B212" s="16">
        <f t="shared" ref="B212:B275" si="36">IF(B211="","",IF((B211+1)&lt;=$C$6,B211+1,""))</f>
        <v>195</v>
      </c>
      <c r="C212" s="9">
        <f t="shared" ref="C212:C275" si="37">IF(B212="","",EDATE($C$18,(B212-1)))</f>
        <v>51225</v>
      </c>
      <c r="D212" s="6">
        <f>IFERROR((PPMT(المدخلات!$E$55/12,B212,$C$6,المدخلات!$E$54,-المدخلات!$E$65,0))," ")</f>
        <v>-7246.129479433177</v>
      </c>
      <c r="E212" s="6">
        <f>IFERROR(((IPMT(المدخلات!$E$55/12,B212,$C$6,المدخلات!$E$54,-المدخلات!$E$65,0)))," ")</f>
        <v>-3071.4055227369249</v>
      </c>
      <c r="F212" s="6">
        <f t="shared" si="29"/>
        <v>-937121.28815501276</v>
      </c>
      <c r="G212" s="6">
        <f t="shared" ref="G212:G275" si="38">IF(B212&lt;=$C$6,G211+E212,"")</f>
        <v>-1074798.0372681567</v>
      </c>
      <c r="H212" s="6">
        <f t="shared" si="34"/>
        <v>-10317.535002170102</v>
      </c>
      <c r="I212" s="6">
        <f t="shared" si="35"/>
        <v>662878.71184498724</v>
      </c>
      <c r="J212" s="6" t="str">
        <f>IF(B212&lt;&gt;"",IF(AND(المدخلات!$H$54="سنوي",MOD(B212,12)=0),المدخلات!$J$54,IF(AND(المدخلات!$H$54="القسط (الدفعة) الاول",B212=1),المدخلات!$J$54,IF(المدخلات!$H$54="شهري",المدخلات!$J$54,""))),"")</f>
        <v/>
      </c>
      <c r="K212" s="6" t="str">
        <f>IF(B212&lt;&gt;"",IF(AND(المدخلات!$H$55="سنوي",MOD(B212,12)=0),المدخلات!$J$55,IF(AND(المدخلات!$H$55="القسط (الدفعة) الاول",B212=1),المدخلات!$J$55,IF(المدخلات!$H$55="شهري",المدخلات!$J$55,""))),"")</f>
        <v/>
      </c>
      <c r="L212" s="6">
        <f>IF(B212&lt;&gt;"",IF(AND(المدخلات!$H$56="سنوي",MOD(B212,12)=0),المدخلات!$J$56,IF(AND(المدخلات!$H$56="القسط (الدفعة) الاول",B212=1),المدخلات!$J$56,IF(المدخلات!$H$56="شهري",المدخلات!$J$56,""))),"")</f>
        <v>208.33333333333334</v>
      </c>
      <c r="M212" s="6" t="str">
        <f>IF(B212&lt;&gt;"",IF(AND(المدخلات!$H$57="سنوي",MOD(B212,12)=0),المدخلات!$J$57,IF(AND(المدخلات!$H$57="القسط (الدفعة) الاول",B212=1),المدخلات!$J$57,IF(المدخلات!$H$57="شهري",المدخلات!$J$57,""))),"")</f>
        <v/>
      </c>
      <c r="N212" s="6" t="str">
        <f>IF(B212&lt;&gt;"",IF(AND(المدخلات!$H$58="سنوي",MOD(B212,12)=0),المدخلات!$J$58,IF(AND(المدخلات!$H$58="القسط (الدفعة) الاول",B212=1),المدخلات!$J$58,IF(المدخلات!$H$58="شهري",المدخلات!$J$58,IF(AND(المدخلات!$H$58="End of the loan",B212=المدخلات!$E$58),المدخلات!$J$58,"")))),"")</f>
        <v/>
      </c>
      <c r="O212" s="6">
        <f t="shared" si="30"/>
        <v>208.33333333333334</v>
      </c>
      <c r="P212" s="4">
        <f t="shared" si="31"/>
        <v>10525.868335503435</v>
      </c>
      <c r="T212" s="9">
        <f t="shared" si="32"/>
        <v>51225</v>
      </c>
      <c r="U212" s="5">
        <f t="shared" si="33"/>
        <v>10525.87</v>
      </c>
    </row>
    <row r="213" spans="2:21" x14ac:dyDescent="0.2">
      <c r="B213" s="16">
        <f t="shared" si="36"/>
        <v>196</v>
      </c>
      <c r="C213" s="9">
        <f t="shared" si="37"/>
        <v>51256</v>
      </c>
      <c r="D213" s="6">
        <f>IFERROR((PPMT(المدخلات!$E$55/12,B213,$C$6,المدخلات!$E$54,-المدخلات!$E$65,0))," ")</f>
        <v>-7279.3409062139117</v>
      </c>
      <c r="E213" s="6">
        <f>IFERROR(((IPMT(المدخلات!$E$55/12,B213,$C$6,المدخلات!$E$54,-المدخلات!$E$65,0)))," ")</f>
        <v>-3038.1940959561894</v>
      </c>
      <c r="F213" s="6">
        <f t="shared" ref="F213:F276" si="39">IF(B213&lt;=$C$6,F212+D213,"")</f>
        <v>-944400.62906122673</v>
      </c>
      <c r="G213" s="6">
        <f t="shared" si="38"/>
        <v>-1077836.2313641128</v>
      </c>
      <c r="H213" s="6">
        <f t="shared" si="34"/>
        <v>-10317.535002170102</v>
      </c>
      <c r="I213" s="6">
        <f t="shared" si="35"/>
        <v>655599.37093877327</v>
      </c>
      <c r="J213" s="6" t="str">
        <f>IF(B213&lt;&gt;"",IF(AND(المدخلات!$H$54="سنوي",MOD(B213,12)=0),المدخلات!$J$54,IF(AND(المدخلات!$H$54="القسط (الدفعة) الاول",B213=1),المدخلات!$J$54,IF(المدخلات!$H$54="شهري",المدخلات!$J$54,""))),"")</f>
        <v/>
      </c>
      <c r="K213" s="6" t="str">
        <f>IF(B213&lt;&gt;"",IF(AND(المدخلات!$H$55="سنوي",MOD(B213,12)=0),المدخلات!$J$55,IF(AND(المدخلات!$H$55="القسط (الدفعة) الاول",B213=1),المدخلات!$J$55,IF(المدخلات!$H$55="شهري",المدخلات!$J$55,""))),"")</f>
        <v/>
      </c>
      <c r="L213" s="6">
        <f>IF(B213&lt;&gt;"",IF(AND(المدخلات!$H$56="سنوي",MOD(B213,12)=0),المدخلات!$J$56,IF(AND(المدخلات!$H$56="القسط (الدفعة) الاول",B213=1),المدخلات!$J$56,IF(المدخلات!$H$56="شهري",المدخلات!$J$56,""))),"")</f>
        <v>208.33333333333334</v>
      </c>
      <c r="M213" s="6" t="str">
        <f>IF(B213&lt;&gt;"",IF(AND(المدخلات!$H$57="سنوي",MOD(B213,12)=0),المدخلات!$J$57,IF(AND(المدخلات!$H$57="القسط (الدفعة) الاول",B213=1),المدخلات!$J$57,IF(المدخلات!$H$57="شهري",المدخلات!$J$57,""))),"")</f>
        <v/>
      </c>
      <c r="N213" s="6" t="str">
        <f>IF(B213&lt;&gt;"",IF(AND(المدخلات!$H$58="سنوي",MOD(B213,12)=0),المدخلات!$J$58,IF(AND(المدخلات!$H$58="القسط (الدفعة) الاول",B213=1),المدخلات!$J$58,IF(المدخلات!$H$58="شهري",المدخلات!$J$58,IF(AND(المدخلات!$H$58="End of the loan",B213=المدخلات!$E$58),المدخلات!$J$58,"")))),"")</f>
        <v/>
      </c>
      <c r="O213" s="6">
        <f t="shared" si="30"/>
        <v>208.33333333333334</v>
      </c>
      <c r="P213" s="4">
        <f t="shared" si="31"/>
        <v>10525.868335503435</v>
      </c>
      <c r="T213" s="9">
        <f t="shared" si="32"/>
        <v>51256</v>
      </c>
      <c r="U213" s="5">
        <f t="shared" si="33"/>
        <v>10525.87</v>
      </c>
    </row>
    <row r="214" spans="2:21" x14ac:dyDescent="0.2">
      <c r="B214" s="16">
        <f t="shared" si="36"/>
        <v>197</v>
      </c>
      <c r="C214" s="9">
        <f t="shared" si="37"/>
        <v>51286</v>
      </c>
      <c r="D214" s="6">
        <f>IFERROR((PPMT(المدخلات!$E$55/12,B214,$C$6,المدخلات!$E$54,-المدخلات!$E$65,0))," ")</f>
        <v>-7312.7045520340598</v>
      </c>
      <c r="E214" s="6">
        <f>IFERROR(((IPMT(المدخلات!$E$55/12,B214,$C$6,المدخلات!$E$54,-المدخلات!$E$65,0)))," ")</f>
        <v>-3004.8304501360421</v>
      </c>
      <c r="F214" s="6">
        <f t="shared" si="39"/>
        <v>-951713.33361326077</v>
      </c>
      <c r="G214" s="6">
        <f t="shared" si="38"/>
        <v>-1080841.0618142488</v>
      </c>
      <c r="H214" s="6">
        <f t="shared" si="34"/>
        <v>-10317.535002170102</v>
      </c>
      <c r="I214" s="6">
        <f t="shared" si="35"/>
        <v>648286.66638673923</v>
      </c>
      <c r="J214" s="6" t="str">
        <f>IF(B214&lt;&gt;"",IF(AND(المدخلات!$H$54="سنوي",MOD(B214,12)=0),المدخلات!$J$54,IF(AND(المدخلات!$H$54="القسط (الدفعة) الاول",B214=1),المدخلات!$J$54,IF(المدخلات!$H$54="شهري",المدخلات!$J$54,""))),"")</f>
        <v/>
      </c>
      <c r="K214" s="6" t="str">
        <f>IF(B214&lt;&gt;"",IF(AND(المدخلات!$H$55="سنوي",MOD(B214,12)=0),المدخلات!$J$55,IF(AND(المدخلات!$H$55="القسط (الدفعة) الاول",B214=1),المدخلات!$J$55,IF(المدخلات!$H$55="شهري",المدخلات!$J$55,""))),"")</f>
        <v/>
      </c>
      <c r="L214" s="6">
        <f>IF(B214&lt;&gt;"",IF(AND(المدخلات!$H$56="سنوي",MOD(B214,12)=0),المدخلات!$J$56,IF(AND(المدخلات!$H$56="القسط (الدفعة) الاول",B214=1),المدخلات!$J$56,IF(المدخلات!$H$56="شهري",المدخلات!$J$56,""))),"")</f>
        <v>208.33333333333334</v>
      </c>
      <c r="M214" s="6" t="str">
        <f>IF(B214&lt;&gt;"",IF(AND(المدخلات!$H$57="سنوي",MOD(B214,12)=0),المدخلات!$J$57,IF(AND(المدخلات!$H$57="القسط (الدفعة) الاول",B214=1),المدخلات!$J$57,IF(المدخلات!$H$57="شهري",المدخلات!$J$57,""))),"")</f>
        <v/>
      </c>
      <c r="N214" s="6" t="str">
        <f>IF(B214&lt;&gt;"",IF(AND(المدخلات!$H$58="سنوي",MOD(B214,12)=0),المدخلات!$J$58,IF(AND(المدخلات!$H$58="القسط (الدفعة) الاول",B214=1),المدخلات!$J$58,IF(المدخلات!$H$58="شهري",المدخلات!$J$58,IF(AND(المدخلات!$H$58="End of the loan",B214=المدخلات!$E$58),المدخلات!$J$58,"")))),"")</f>
        <v/>
      </c>
      <c r="O214" s="6">
        <f t="shared" si="30"/>
        <v>208.33333333333334</v>
      </c>
      <c r="P214" s="4">
        <f t="shared" si="31"/>
        <v>10525.868335503435</v>
      </c>
      <c r="T214" s="9">
        <f t="shared" si="32"/>
        <v>51286</v>
      </c>
      <c r="U214" s="5">
        <f t="shared" si="33"/>
        <v>10525.87</v>
      </c>
    </row>
    <row r="215" spans="2:21" x14ac:dyDescent="0.2">
      <c r="B215" s="16">
        <f t="shared" si="36"/>
        <v>198</v>
      </c>
      <c r="C215" s="9">
        <f t="shared" si="37"/>
        <v>51317</v>
      </c>
      <c r="D215" s="6">
        <f>IFERROR((PPMT(المدخلات!$E$55/12,B215,$C$6,المدخلات!$E$54,-المدخلات!$E$65,0))," ")</f>
        <v>-7346.2211145642159</v>
      </c>
      <c r="E215" s="6">
        <f>IFERROR(((IPMT(المدخلات!$E$55/12,B215,$C$6,المدخلات!$E$54,-المدخلات!$E$65,0)))," ")</f>
        <v>-2971.3138876058861</v>
      </c>
      <c r="F215" s="6">
        <f t="shared" si="39"/>
        <v>-959059.55472782499</v>
      </c>
      <c r="G215" s="6">
        <f t="shared" si="38"/>
        <v>-1083812.3757018547</v>
      </c>
      <c r="H215" s="6">
        <f t="shared" si="34"/>
        <v>-10317.535002170102</v>
      </c>
      <c r="I215" s="6">
        <f t="shared" si="35"/>
        <v>640940.44527217501</v>
      </c>
      <c r="J215" s="6" t="str">
        <f>IF(B215&lt;&gt;"",IF(AND(المدخلات!$H$54="سنوي",MOD(B215,12)=0),المدخلات!$J$54,IF(AND(المدخلات!$H$54="القسط (الدفعة) الاول",B215=1),المدخلات!$J$54,IF(المدخلات!$H$54="شهري",المدخلات!$J$54,""))),"")</f>
        <v/>
      </c>
      <c r="K215" s="6" t="str">
        <f>IF(B215&lt;&gt;"",IF(AND(المدخلات!$H$55="سنوي",MOD(B215,12)=0),المدخلات!$J$55,IF(AND(المدخلات!$H$55="القسط (الدفعة) الاول",B215=1),المدخلات!$J$55,IF(المدخلات!$H$55="شهري",المدخلات!$J$55,""))),"")</f>
        <v/>
      </c>
      <c r="L215" s="6">
        <f>IF(B215&lt;&gt;"",IF(AND(المدخلات!$H$56="سنوي",MOD(B215,12)=0),المدخلات!$J$56,IF(AND(المدخلات!$H$56="القسط (الدفعة) الاول",B215=1),المدخلات!$J$56,IF(المدخلات!$H$56="شهري",المدخلات!$J$56,""))),"")</f>
        <v>208.33333333333334</v>
      </c>
      <c r="M215" s="6" t="str">
        <f>IF(B215&lt;&gt;"",IF(AND(المدخلات!$H$57="سنوي",MOD(B215,12)=0),المدخلات!$J$57,IF(AND(المدخلات!$H$57="القسط (الدفعة) الاول",B215=1),المدخلات!$J$57,IF(المدخلات!$H$57="شهري",المدخلات!$J$57,""))),"")</f>
        <v/>
      </c>
      <c r="N215" s="6" t="str">
        <f>IF(B215&lt;&gt;"",IF(AND(المدخلات!$H$58="سنوي",MOD(B215,12)=0),المدخلات!$J$58,IF(AND(المدخلات!$H$58="القسط (الدفعة) الاول",B215=1),المدخلات!$J$58,IF(المدخلات!$H$58="شهري",المدخلات!$J$58,IF(AND(المدخلات!$H$58="End of the loan",B215=المدخلات!$E$58),المدخلات!$J$58,"")))),"")</f>
        <v/>
      </c>
      <c r="O215" s="6">
        <f t="shared" si="30"/>
        <v>208.33333333333334</v>
      </c>
      <c r="P215" s="4">
        <f t="shared" si="31"/>
        <v>10525.868335503435</v>
      </c>
      <c r="T215" s="9">
        <f t="shared" si="32"/>
        <v>51317</v>
      </c>
      <c r="U215" s="5">
        <f t="shared" si="33"/>
        <v>10525.87</v>
      </c>
    </row>
    <row r="216" spans="2:21" x14ac:dyDescent="0.2">
      <c r="B216" s="16">
        <f t="shared" si="36"/>
        <v>199</v>
      </c>
      <c r="C216" s="9">
        <f t="shared" si="37"/>
        <v>51347</v>
      </c>
      <c r="D216" s="6">
        <f>IFERROR((PPMT(المدخلات!$E$55/12,B216,$C$6,المدخلات!$E$54,-المدخلات!$E$65,0))," ")</f>
        <v>-7379.8912946726341</v>
      </c>
      <c r="E216" s="6">
        <f>IFERROR(((IPMT(المدخلات!$E$55/12,B216,$C$6,المدخلات!$E$54,-المدخلات!$E$65,0)))," ")</f>
        <v>-2937.6437074974674</v>
      </c>
      <c r="F216" s="6">
        <f t="shared" si="39"/>
        <v>-966439.44602249761</v>
      </c>
      <c r="G216" s="6">
        <f t="shared" si="38"/>
        <v>-1086750.0194093522</v>
      </c>
      <c r="H216" s="6">
        <f t="shared" si="34"/>
        <v>-10317.535002170102</v>
      </c>
      <c r="I216" s="6">
        <f t="shared" si="35"/>
        <v>633560.55397750239</v>
      </c>
      <c r="J216" s="6" t="str">
        <f>IF(B216&lt;&gt;"",IF(AND(المدخلات!$H$54="سنوي",MOD(B216,12)=0),المدخلات!$J$54,IF(AND(المدخلات!$H$54="القسط (الدفعة) الاول",B216=1),المدخلات!$J$54,IF(المدخلات!$H$54="شهري",المدخلات!$J$54,""))),"")</f>
        <v/>
      </c>
      <c r="K216" s="6" t="str">
        <f>IF(B216&lt;&gt;"",IF(AND(المدخلات!$H$55="سنوي",MOD(B216,12)=0),المدخلات!$J$55,IF(AND(المدخلات!$H$55="القسط (الدفعة) الاول",B216=1),المدخلات!$J$55,IF(المدخلات!$H$55="شهري",المدخلات!$J$55,""))),"")</f>
        <v/>
      </c>
      <c r="L216" s="6">
        <f>IF(B216&lt;&gt;"",IF(AND(المدخلات!$H$56="سنوي",MOD(B216,12)=0),المدخلات!$J$56,IF(AND(المدخلات!$H$56="القسط (الدفعة) الاول",B216=1),المدخلات!$J$56,IF(المدخلات!$H$56="شهري",المدخلات!$J$56,""))),"")</f>
        <v>208.33333333333334</v>
      </c>
      <c r="M216" s="6" t="str">
        <f>IF(B216&lt;&gt;"",IF(AND(المدخلات!$H$57="سنوي",MOD(B216,12)=0),المدخلات!$J$57,IF(AND(المدخلات!$H$57="القسط (الدفعة) الاول",B216=1),المدخلات!$J$57,IF(المدخلات!$H$57="شهري",المدخلات!$J$57,""))),"")</f>
        <v/>
      </c>
      <c r="N216" s="6" t="str">
        <f>IF(B216&lt;&gt;"",IF(AND(المدخلات!$H$58="سنوي",MOD(B216,12)=0),المدخلات!$J$58,IF(AND(المدخلات!$H$58="القسط (الدفعة) الاول",B216=1),المدخلات!$J$58,IF(المدخلات!$H$58="شهري",المدخلات!$J$58,IF(AND(المدخلات!$H$58="End of the loan",B216=المدخلات!$E$58),المدخلات!$J$58,"")))),"")</f>
        <v/>
      </c>
      <c r="O216" s="6">
        <f t="shared" si="30"/>
        <v>208.33333333333334</v>
      </c>
      <c r="P216" s="4">
        <f t="shared" si="31"/>
        <v>10525.868335503435</v>
      </c>
      <c r="T216" s="9">
        <f t="shared" si="32"/>
        <v>51347</v>
      </c>
      <c r="U216" s="5">
        <f t="shared" si="33"/>
        <v>10525.87</v>
      </c>
    </row>
    <row r="217" spans="2:21" x14ac:dyDescent="0.2">
      <c r="B217" s="16">
        <f t="shared" si="36"/>
        <v>200</v>
      </c>
      <c r="C217" s="9">
        <f t="shared" si="37"/>
        <v>51378</v>
      </c>
      <c r="D217" s="6">
        <f>IFERROR((PPMT(المدخلات!$E$55/12,B217,$C$6,المدخلات!$E$54,-المدخلات!$E$65,0))," ")</f>
        <v>-7413.7157964398839</v>
      </c>
      <c r="E217" s="6">
        <f>IFERROR(((IPMT(المدخلات!$E$55/12,B217,$C$6,المدخلات!$E$54,-المدخلات!$E$65,0)))," ")</f>
        <v>-2903.8192057302172</v>
      </c>
      <c r="F217" s="6">
        <f t="shared" si="39"/>
        <v>-973853.16181893751</v>
      </c>
      <c r="G217" s="6">
        <f t="shared" si="38"/>
        <v>-1089653.8386150824</v>
      </c>
      <c r="H217" s="6">
        <f t="shared" si="34"/>
        <v>-10317.535002170102</v>
      </c>
      <c r="I217" s="6">
        <f t="shared" si="35"/>
        <v>626146.83818106249</v>
      </c>
      <c r="J217" s="6" t="str">
        <f>IF(B217&lt;&gt;"",IF(AND(المدخلات!$H$54="سنوي",MOD(B217,12)=0),المدخلات!$J$54,IF(AND(المدخلات!$H$54="القسط (الدفعة) الاول",B217=1),المدخلات!$J$54,IF(المدخلات!$H$54="شهري",المدخلات!$J$54,""))),"")</f>
        <v/>
      </c>
      <c r="K217" s="6" t="str">
        <f>IF(B217&lt;&gt;"",IF(AND(المدخلات!$H$55="سنوي",MOD(B217,12)=0),المدخلات!$J$55,IF(AND(المدخلات!$H$55="القسط (الدفعة) الاول",B217=1),المدخلات!$J$55,IF(المدخلات!$H$55="شهري",المدخلات!$J$55,""))),"")</f>
        <v/>
      </c>
      <c r="L217" s="6">
        <f>IF(B217&lt;&gt;"",IF(AND(المدخلات!$H$56="سنوي",MOD(B217,12)=0),المدخلات!$J$56,IF(AND(المدخلات!$H$56="القسط (الدفعة) الاول",B217=1),المدخلات!$J$56,IF(المدخلات!$H$56="شهري",المدخلات!$J$56,""))),"")</f>
        <v>208.33333333333334</v>
      </c>
      <c r="M217" s="6" t="str">
        <f>IF(B217&lt;&gt;"",IF(AND(المدخلات!$H$57="سنوي",MOD(B217,12)=0),المدخلات!$J$57,IF(AND(المدخلات!$H$57="القسط (الدفعة) الاول",B217=1),المدخلات!$J$57,IF(المدخلات!$H$57="شهري",المدخلات!$J$57,""))),"")</f>
        <v/>
      </c>
      <c r="N217" s="6" t="str">
        <f>IF(B217&lt;&gt;"",IF(AND(المدخلات!$H$58="سنوي",MOD(B217,12)=0),المدخلات!$J$58,IF(AND(المدخلات!$H$58="القسط (الدفعة) الاول",B217=1),المدخلات!$J$58,IF(المدخلات!$H$58="شهري",المدخلات!$J$58,IF(AND(المدخلات!$H$58="End of the loan",B217=المدخلات!$E$58),المدخلات!$J$58,"")))),"")</f>
        <v/>
      </c>
      <c r="O217" s="6">
        <f t="shared" si="30"/>
        <v>208.33333333333334</v>
      </c>
      <c r="P217" s="4">
        <f t="shared" si="31"/>
        <v>10525.868335503435</v>
      </c>
      <c r="T217" s="9">
        <f t="shared" si="32"/>
        <v>51378</v>
      </c>
      <c r="U217" s="5">
        <f t="shared" si="33"/>
        <v>10525.87</v>
      </c>
    </row>
    <row r="218" spans="2:21" x14ac:dyDescent="0.2">
      <c r="B218" s="16">
        <f t="shared" si="36"/>
        <v>201</v>
      </c>
      <c r="C218" s="9">
        <f t="shared" si="37"/>
        <v>51409</v>
      </c>
      <c r="D218" s="6">
        <f>IFERROR((PPMT(المدخلات!$E$55/12,B218,$C$6,المدخلات!$E$54,-المدخلات!$E$65,0))," ")</f>
        <v>-7447.6953271735665</v>
      </c>
      <c r="E218" s="6">
        <f>IFERROR(((IPMT(المدخلات!$E$55/12,B218,$C$6,المدخلات!$E$54,-المدخلات!$E$65,0)))," ")</f>
        <v>-2869.839674996535</v>
      </c>
      <c r="F218" s="6">
        <f t="shared" si="39"/>
        <v>-981300.85714611108</v>
      </c>
      <c r="G218" s="6">
        <f t="shared" si="38"/>
        <v>-1092523.6782900789</v>
      </c>
      <c r="H218" s="6">
        <f t="shared" si="34"/>
        <v>-10317.535002170102</v>
      </c>
      <c r="I218" s="6">
        <f t="shared" si="35"/>
        <v>618699.14285388892</v>
      </c>
      <c r="J218" s="6" t="str">
        <f>IF(B218&lt;&gt;"",IF(AND(المدخلات!$H$54="سنوي",MOD(B218,12)=0),المدخلات!$J$54,IF(AND(المدخلات!$H$54="القسط (الدفعة) الاول",B218=1),المدخلات!$J$54,IF(المدخلات!$H$54="شهري",المدخلات!$J$54,""))),"")</f>
        <v/>
      </c>
      <c r="K218" s="6" t="str">
        <f>IF(B218&lt;&gt;"",IF(AND(المدخلات!$H$55="سنوي",MOD(B218,12)=0),المدخلات!$J$55,IF(AND(المدخلات!$H$55="القسط (الدفعة) الاول",B218=1),المدخلات!$J$55,IF(المدخلات!$H$55="شهري",المدخلات!$J$55,""))),"")</f>
        <v/>
      </c>
      <c r="L218" s="6">
        <f>IF(B218&lt;&gt;"",IF(AND(المدخلات!$H$56="سنوي",MOD(B218,12)=0),المدخلات!$J$56,IF(AND(المدخلات!$H$56="القسط (الدفعة) الاول",B218=1),المدخلات!$J$56,IF(المدخلات!$H$56="شهري",المدخلات!$J$56,""))),"")</f>
        <v>208.33333333333334</v>
      </c>
      <c r="M218" s="6" t="str">
        <f>IF(B218&lt;&gt;"",IF(AND(المدخلات!$H$57="سنوي",MOD(B218,12)=0),المدخلات!$J$57,IF(AND(المدخلات!$H$57="القسط (الدفعة) الاول",B218=1),المدخلات!$J$57,IF(المدخلات!$H$57="شهري",المدخلات!$J$57,""))),"")</f>
        <v/>
      </c>
      <c r="N218" s="6" t="str">
        <f>IF(B218&lt;&gt;"",IF(AND(المدخلات!$H$58="سنوي",MOD(B218,12)=0),المدخلات!$J$58,IF(AND(المدخلات!$H$58="القسط (الدفعة) الاول",B218=1),المدخلات!$J$58,IF(المدخلات!$H$58="شهري",المدخلات!$J$58,IF(AND(المدخلات!$H$58="End of the loan",B218=المدخلات!$E$58),المدخلات!$J$58,"")))),"")</f>
        <v/>
      </c>
      <c r="O218" s="6">
        <f t="shared" si="30"/>
        <v>208.33333333333334</v>
      </c>
      <c r="P218" s="4">
        <f t="shared" si="31"/>
        <v>10525.868335503435</v>
      </c>
      <c r="T218" s="9">
        <f t="shared" si="32"/>
        <v>51409</v>
      </c>
      <c r="U218" s="5">
        <f t="shared" si="33"/>
        <v>10525.87</v>
      </c>
    </row>
    <row r="219" spans="2:21" x14ac:dyDescent="0.2">
      <c r="B219" s="16">
        <f t="shared" si="36"/>
        <v>202</v>
      </c>
      <c r="C219" s="9">
        <f t="shared" si="37"/>
        <v>51439</v>
      </c>
      <c r="D219" s="6">
        <f>IFERROR((PPMT(المدخلات!$E$55/12,B219,$C$6,المدخلات!$E$54,-المدخلات!$E$65,0))," ")</f>
        <v>-7481.8305974231125</v>
      </c>
      <c r="E219" s="6">
        <f>IFERROR(((IPMT(المدخلات!$E$55/12,B219,$C$6,المدخلات!$E$54,-المدخلات!$E$65,0)))," ")</f>
        <v>-2835.7044047469885</v>
      </c>
      <c r="F219" s="6">
        <f t="shared" si="39"/>
        <v>-988782.68774353422</v>
      </c>
      <c r="G219" s="6">
        <f t="shared" si="38"/>
        <v>-1095359.3826948258</v>
      </c>
      <c r="H219" s="6">
        <f t="shared" si="34"/>
        <v>-10317.535002170102</v>
      </c>
      <c r="I219" s="6">
        <f t="shared" si="35"/>
        <v>611217.31225646578</v>
      </c>
      <c r="J219" s="6" t="str">
        <f>IF(B219&lt;&gt;"",IF(AND(المدخلات!$H$54="سنوي",MOD(B219,12)=0),المدخلات!$J$54,IF(AND(المدخلات!$H$54="القسط (الدفعة) الاول",B219=1),المدخلات!$J$54,IF(المدخلات!$H$54="شهري",المدخلات!$J$54,""))),"")</f>
        <v/>
      </c>
      <c r="K219" s="6" t="str">
        <f>IF(B219&lt;&gt;"",IF(AND(المدخلات!$H$55="سنوي",MOD(B219,12)=0),المدخلات!$J$55,IF(AND(المدخلات!$H$55="القسط (الدفعة) الاول",B219=1),المدخلات!$J$55,IF(المدخلات!$H$55="شهري",المدخلات!$J$55,""))),"")</f>
        <v/>
      </c>
      <c r="L219" s="6">
        <f>IF(B219&lt;&gt;"",IF(AND(المدخلات!$H$56="سنوي",MOD(B219,12)=0),المدخلات!$J$56,IF(AND(المدخلات!$H$56="القسط (الدفعة) الاول",B219=1),المدخلات!$J$56,IF(المدخلات!$H$56="شهري",المدخلات!$J$56,""))),"")</f>
        <v>208.33333333333334</v>
      </c>
      <c r="M219" s="6" t="str">
        <f>IF(B219&lt;&gt;"",IF(AND(المدخلات!$H$57="سنوي",MOD(B219,12)=0),المدخلات!$J$57,IF(AND(المدخلات!$H$57="القسط (الدفعة) الاول",B219=1),المدخلات!$J$57,IF(المدخلات!$H$57="شهري",المدخلات!$J$57,""))),"")</f>
        <v/>
      </c>
      <c r="N219" s="6" t="str">
        <f>IF(B219&lt;&gt;"",IF(AND(المدخلات!$H$58="سنوي",MOD(B219,12)=0),المدخلات!$J$58,IF(AND(المدخلات!$H$58="القسط (الدفعة) الاول",B219=1),المدخلات!$J$58,IF(المدخلات!$H$58="شهري",المدخلات!$J$58,IF(AND(المدخلات!$H$58="End of the loan",B219=المدخلات!$E$58),المدخلات!$J$58,"")))),"")</f>
        <v/>
      </c>
      <c r="O219" s="6">
        <f t="shared" si="30"/>
        <v>208.33333333333334</v>
      </c>
      <c r="P219" s="4">
        <f t="shared" si="31"/>
        <v>10525.868335503435</v>
      </c>
      <c r="T219" s="9">
        <f t="shared" si="32"/>
        <v>51439</v>
      </c>
      <c r="U219" s="5">
        <f t="shared" si="33"/>
        <v>10525.87</v>
      </c>
    </row>
    <row r="220" spans="2:21" x14ac:dyDescent="0.2">
      <c r="B220" s="16">
        <f t="shared" si="36"/>
        <v>203</v>
      </c>
      <c r="C220" s="9">
        <f t="shared" si="37"/>
        <v>51470</v>
      </c>
      <c r="D220" s="6">
        <f>IFERROR((PPMT(المدخلات!$E$55/12,B220,$C$6,المدخلات!$E$54,-المدخلات!$E$65,0))," ")</f>
        <v>-7516.1223209946347</v>
      </c>
      <c r="E220" s="6">
        <f>IFERROR(((IPMT(المدخلات!$E$55/12,B220,$C$6,المدخلات!$E$54,-المدخلات!$E$65,0)))," ")</f>
        <v>-2801.4126811754668</v>
      </c>
      <c r="F220" s="6">
        <f t="shared" si="39"/>
        <v>-996298.81006452884</v>
      </c>
      <c r="G220" s="6">
        <f t="shared" si="38"/>
        <v>-1098160.7953760012</v>
      </c>
      <c r="H220" s="6">
        <f t="shared" si="34"/>
        <v>-10317.535002170102</v>
      </c>
      <c r="I220" s="6">
        <f t="shared" si="35"/>
        <v>603701.18993547116</v>
      </c>
      <c r="J220" s="6" t="str">
        <f>IF(B220&lt;&gt;"",IF(AND(المدخلات!$H$54="سنوي",MOD(B220,12)=0),المدخلات!$J$54,IF(AND(المدخلات!$H$54="القسط (الدفعة) الاول",B220=1),المدخلات!$J$54,IF(المدخلات!$H$54="شهري",المدخلات!$J$54,""))),"")</f>
        <v/>
      </c>
      <c r="K220" s="6" t="str">
        <f>IF(B220&lt;&gt;"",IF(AND(المدخلات!$H$55="سنوي",MOD(B220,12)=0),المدخلات!$J$55,IF(AND(المدخلات!$H$55="القسط (الدفعة) الاول",B220=1),المدخلات!$J$55,IF(المدخلات!$H$55="شهري",المدخلات!$J$55,""))),"")</f>
        <v/>
      </c>
      <c r="L220" s="6">
        <f>IF(B220&lt;&gt;"",IF(AND(المدخلات!$H$56="سنوي",MOD(B220,12)=0),المدخلات!$J$56,IF(AND(المدخلات!$H$56="القسط (الدفعة) الاول",B220=1),المدخلات!$J$56,IF(المدخلات!$H$56="شهري",المدخلات!$J$56,""))),"")</f>
        <v>208.33333333333334</v>
      </c>
      <c r="M220" s="6" t="str">
        <f>IF(B220&lt;&gt;"",IF(AND(المدخلات!$H$57="سنوي",MOD(B220,12)=0),المدخلات!$J$57,IF(AND(المدخلات!$H$57="القسط (الدفعة) الاول",B220=1),المدخلات!$J$57,IF(المدخلات!$H$57="شهري",المدخلات!$J$57,""))),"")</f>
        <v/>
      </c>
      <c r="N220" s="6" t="str">
        <f>IF(B220&lt;&gt;"",IF(AND(المدخلات!$H$58="سنوي",MOD(B220,12)=0),المدخلات!$J$58,IF(AND(المدخلات!$H$58="القسط (الدفعة) الاول",B220=1),المدخلات!$J$58,IF(المدخلات!$H$58="شهري",المدخلات!$J$58,IF(AND(المدخلات!$H$58="End of the loan",B220=المدخلات!$E$58),المدخلات!$J$58,"")))),"")</f>
        <v/>
      </c>
      <c r="O220" s="6">
        <f t="shared" si="30"/>
        <v>208.33333333333334</v>
      </c>
      <c r="P220" s="4">
        <f t="shared" si="31"/>
        <v>10525.868335503435</v>
      </c>
      <c r="T220" s="9">
        <f t="shared" si="32"/>
        <v>51470</v>
      </c>
      <c r="U220" s="5">
        <f t="shared" si="33"/>
        <v>10525.87</v>
      </c>
    </row>
    <row r="221" spans="2:21" x14ac:dyDescent="0.2">
      <c r="B221" s="16">
        <f t="shared" si="36"/>
        <v>204</v>
      </c>
      <c r="C221" s="9">
        <f t="shared" si="37"/>
        <v>51500</v>
      </c>
      <c r="D221" s="6">
        <f>IFERROR((PPMT(المدخلات!$E$55/12,B221,$C$6,المدخلات!$E$54,-المدخلات!$E$65,0))," ")</f>
        <v>-7550.5712149658593</v>
      </c>
      <c r="E221" s="6">
        <f>IFERROR(((IPMT(المدخلات!$E$55/12,B221,$C$6,المدخلات!$E$54,-المدخلات!$E$65,0)))," ")</f>
        <v>-2766.9637872042408</v>
      </c>
      <c r="F221" s="6">
        <f t="shared" si="39"/>
        <v>-1003849.3812794947</v>
      </c>
      <c r="G221" s="6">
        <f t="shared" si="38"/>
        <v>-1100927.7591632055</v>
      </c>
      <c r="H221" s="6">
        <f t="shared" si="34"/>
        <v>-10317.5350021701</v>
      </c>
      <c r="I221" s="6">
        <f t="shared" si="35"/>
        <v>596150.61872050527</v>
      </c>
      <c r="J221" s="6" t="str">
        <f>IF(B221&lt;&gt;"",IF(AND(المدخلات!$H$54="سنوي",MOD(B221,12)=0),المدخلات!$J$54,IF(AND(المدخلات!$H$54="القسط (الدفعة) الاول",B221=1),المدخلات!$J$54,IF(المدخلات!$H$54="شهري",المدخلات!$J$54,""))),"")</f>
        <v/>
      </c>
      <c r="K221" s="6" t="str">
        <f>IF(B221&lt;&gt;"",IF(AND(المدخلات!$H$55="سنوي",MOD(B221,12)=0),المدخلات!$J$55,IF(AND(المدخلات!$H$55="القسط (الدفعة) الاول",B221=1),المدخلات!$J$55,IF(المدخلات!$H$55="شهري",المدخلات!$J$55,""))),"")</f>
        <v/>
      </c>
      <c r="L221" s="6">
        <f>IF(B221&lt;&gt;"",IF(AND(المدخلات!$H$56="سنوي",MOD(B221,12)=0),المدخلات!$J$56,IF(AND(المدخلات!$H$56="القسط (الدفعة) الاول",B221=1),المدخلات!$J$56,IF(المدخلات!$H$56="شهري",المدخلات!$J$56,""))),"")</f>
        <v>208.33333333333334</v>
      </c>
      <c r="M221" s="6" t="str">
        <f>IF(B221&lt;&gt;"",IF(AND(المدخلات!$H$57="سنوي",MOD(B221,12)=0),المدخلات!$J$57,IF(AND(المدخلات!$H$57="القسط (الدفعة) الاول",B221=1),المدخلات!$J$57,IF(المدخلات!$H$57="شهري",المدخلات!$J$57,""))),"")</f>
        <v/>
      </c>
      <c r="N221" s="6">
        <f>IF(B221&lt;&gt;"",IF(AND(المدخلات!$H$58="سنوي",MOD(B221,12)=0),المدخلات!$J$58,IF(AND(المدخلات!$H$58="القسط (الدفعة) الاول",B221=1),المدخلات!$J$58,IF(المدخلات!$H$58="شهري",المدخلات!$J$58,IF(AND(المدخلات!$H$58="End of the loan",B221=المدخلات!$E$58),المدخلات!$J$58,"")))),"")</f>
        <v>0</v>
      </c>
      <c r="O221" s="6">
        <f t="shared" si="30"/>
        <v>208.33333333333334</v>
      </c>
      <c r="P221" s="4">
        <f t="shared" si="31"/>
        <v>10525.868335503434</v>
      </c>
      <c r="T221" s="9">
        <f t="shared" si="32"/>
        <v>51500</v>
      </c>
      <c r="U221" s="5">
        <f t="shared" si="33"/>
        <v>10525.87</v>
      </c>
    </row>
    <row r="222" spans="2:21" x14ac:dyDescent="0.2">
      <c r="B222" s="16">
        <f t="shared" si="36"/>
        <v>205</v>
      </c>
      <c r="C222" s="9">
        <f t="shared" si="37"/>
        <v>51531</v>
      </c>
      <c r="D222" s="6">
        <f>IFERROR((PPMT(المدخلات!$E$55/12,B222,$C$6,المدخلات!$E$54,-المدخلات!$E$65,0))," ")</f>
        <v>-7585.1779997011208</v>
      </c>
      <c r="E222" s="6">
        <f>IFERROR(((IPMT(المدخلات!$E$55/12,B222,$C$6,المدخلات!$E$54,-المدخلات!$E$65,0)))," ")</f>
        <v>-2732.3570024689807</v>
      </c>
      <c r="F222" s="6">
        <f t="shared" si="39"/>
        <v>-1011434.5592791958</v>
      </c>
      <c r="G222" s="6">
        <f t="shared" si="38"/>
        <v>-1103660.1161656745</v>
      </c>
      <c r="H222" s="6">
        <f t="shared" si="34"/>
        <v>-10317.535002170102</v>
      </c>
      <c r="I222" s="6">
        <f t="shared" si="35"/>
        <v>588565.44072080415</v>
      </c>
      <c r="J222" s="6" t="str">
        <f>IF(B222&lt;&gt;"",IF(AND(المدخلات!$H$54="سنوي",MOD(B222,12)=0),المدخلات!$J$54,IF(AND(المدخلات!$H$54="القسط (الدفعة) الاول",B222=1),المدخلات!$J$54,IF(المدخلات!$H$54="شهري",المدخلات!$J$54,""))),"")</f>
        <v/>
      </c>
      <c r="K222" s="6" t="str">
        <f>IF(B222&lt;&gt;"",IF(AND(المدخلات!$H$55="سنوي",MOD(B222,12)=0),المدخلات!$J$55,IF(AND(المدخلات!$H$55="القسط (الدفعة) الاول",B222=1),المدخلات!$J$55,IF(المدخلات!$H$55="شهري",المدخلات!$J$55,""))),"")</f>
        <v/>
      </c>
      <c r="L222" s="6">
        <f>IF(B222&lt;&gt;"",IF(AND(المدخلات!$H$56="سنوي",MOD(B222,12)=0),المدخلات!$J$56,IF(AND(المدخلات!$H$56="القسط (الدفعة) الاول",B222=1),المدخلات!$J$56,IF(المدخلات!$H$56="شهري",المدخلات!$J$56,""))),"")</f>
        <v>208.33333333333334</v>
      </c>
      <c r="M222" s="6" t="str">
        <f>IF(B222&lt;&gt;"",IF(AND(المدخلات!$H$57="سنوي",MOD(B222,12)=0),المدخلات!$J$57,IF(AND(المدخلات!$H$57="القسط (الدفعة) الاول",B222=1),المدخلات!$J$57,IF(المدخلات!$H$57="شهري",المدخلات!$J$57,""))),"")</f>
        <v/>
      </c>
      <c r="N222" s="6" t="str">
        <f>IF(B222&lt;&gt;"",IF(AND(المدخلات!$H$58="سنوي",MOD(B222,12)=0),المدخلات!$J$58,IF(AND(المدخلات!$H$58="القسط (الدفعة) الاول",B222=1),المدخلات!$J$58,IF(المدخلات!$H$58="شهري",المدخلات!$J$58,IF(AND(المدخلات!$H$58="End of the loan",B222=المدخلات!$E$58),المدخلات!$J$58,"")))),"")</f>
        <v/>
      </c>
      <c r="O222" s="6">
        <f t="shared" si="30"/>
        <v>208.33333333333334</v>
      </c>
      <c r="P222" s="4">
        <f t="shared" si="31"/>
        <v>10525.868335503435</v>
      </c>
      <c r="T222" s="9">
        <f t="shared" si="32"/>
        <v>51531</v>
      </c>
      <c r="U222" s="5">
        <f t="shared" si="33"/>
        <v>10525.87</v>
      </c>
    </row>
    <row r="223" spans="2:21" x14ac:dyDescent="0.2">
      <c r="B223" s="16">
        <f t="shared" si="36"/>
        <v>206</v>
      </c>
      <c r="C223" s="9">
        <f t="shared" si="37"/>
        <v>51560</v>
      </c>
      <c r="D223" s="6">
        <f>IFERROR((PPMT(المدخلات!$E$55/12,B223,$C$6,المدخلات!$E$54,-المدخلات!$E$65,0))," ")</f>
        <v>-7619.9433988664177</v>
      </c>
      <c r="E223" s="6">
        <f>IFERROR(((IPMT(المدخلات!$E$55/12,B223,$C$6,المدخلات!$E$54,-المدخلات!$E$65,0)))," ")</f>
        <v>-2697.5916033036842</v>
      </c>
      <c r="F223" s="6">
        <f t="shared" si="39"/>
        <v>-1019054.5026780623</v>
      </c>
      <c r="G223" s="6">
        <f t="shared" si="38"/>
        <v>-1106357.7077689783</v>
      </c>
      <c r="H223" s="6">
        <f t="shared" si="34"/>
        <v>-10317.535002170102</v>
      </c>
      <c r="I223" s="6">
        <f t="shared" si="35"/>
        <v>580945.4973219377</v>
      </c>
      <c r="J223" s="6" t="str">
        <f>IF(B223&lt;&gt;"",IF(AND(المدخلات!$H$54="سنوي",MOD(B223,12)=0),المدخلات!$J$54,IF(AND(المدخلات!$H$54="القسط (الدفعة) الاول",B223=1),المدخلات!$J$54,IF(المدخلات!$H$54="شهري",المدخلات!$J$54,""))),"")</f>
        <v/>
      </c>
      <c r="K223" s="6" t="str">
        <f>IF(B223&lt;&gt;"",IF(AND(المدخلات!$H$55="سنوي",MOD(B223,12)=0),المدخلات!$J$55,IF(AND(المدخلات!$H$55="القسط (الدفعة) الاول",B223=1),المدخلات!$J$55,IF(المدخلات!$H$55="شهري",المدخلات!$J$55,""))),"")</f>
        <v/>
      </c>
      <c r="L223" s="6">
        <f>IF(B223&lt;&gt;"",IF(AND(المدخلات!$H$56="سنوي",MOD(B223,12)=0),المدخلات!$J$56,IF(AND(المدخلات!$H$56="القسط (الدفعة) الاول",B223=1),المدخلات!$J$56,IF(المدخلات!$H$56="شهري",المدخلات!$J$56,""))),"")</f>
        <v>208.33333333333334</v>
      </c>
      <c r="M223" s="6" t="str">
        <f>IF(B223&lt;&gt;"",IF(AND(المدخلات!$H$57="سنوي",MOD(B223,12)=0),المدخلات!$J$57,IF(AND(المدخلات!$H$57="القسط (الدفعة) الاول",B223=1),المدخلات!$J$57,IF(المدخلات!$H$57="شهري",المدخلات!$J$57,""))),"")</f>
        <v/>
      </c>
      <c r="N223" s="6" t="str">
        <f>IF(B223&lt;&gt;"",IF(AND(المدخلات!$H$58="سنوي",MOD(B223,12)=0),المدخلات!$J$58,IF(AND(المدخلات!$H$58="القسط (الدفعة) الاول",B223=1),المدخلات!$J$58,IF(المدخلات!$H$58="شهري",المدخلات!$J$58,IF(AND(المدخلات!$H$58="End of the loan",B223=المدخلات!$E$58),المدخلات!$J$58,"")))),"")</f>
        <v/>
      </c>
      <c r="O223" s="6">
        <f t="shared" si="30"/>
        <v>208.33333333333334</v>
      </c>
      <c r="P223" s="4">
        <f t="shared" si="31"/>
        <v>10525.868335503435</v>
      </c>
      <c r="T223" s="9">
        <f t="shared" si="32"/>
        <v>51560</v>
      </c>
      <c r="U223" s="5">
        <f t="shared" si="33"/>
        <v>10525.87</v>
      </c>
    </row>
    <row r="224" spans="2:21" x14ac:dyDescent="0.2">
      <c r="B224" s="16">
        <f t="shared" si="36"/>
        <v>207</v>
      </c>
      <c r="C224" s="9">
        <f t="shared" si="37"/>
        <v>51590</v>
      </c>
      <c r="D224" s="6">
        <f>IFERROR((PPMT(المدخلات!$E$55/12,B224,$C$6,المدخلات!$E$54,-المدخلات!$E$65,0))," ")</f>
        <v>-7654.8681394445548</v>
      </c>
      <c r="E224" s="6">
        <f>IFERROR(((IPMT(المدخلات!$E$55/12,B224,$C$6,المدخلات!$E$54,-المدخلات!$E$65,0)))," ")</f>
        <v>-2662.6668627255458</v>
      </c>
      <c r="F224" s="6">
        <f t="shared" si="39"/>
        <v>-1026709.3708175068</v>
      </c>
      <c r="G224" s="6">
        <f t="shared" si="38"/>
        <v>-1109020.3746317038</v>
      </c>
      <c r="H224" s="6">
        <f t="shared" si="34"/>
        <v>-10317.535002170102</v>
      </c>
      <c r="I224" s="6">
        <f t="shared" si="35"/>
        <v>573290.6291824932</v>
      </c>
      <c r="J224" s="6" t="str">
        <f>IF(B224&lt;&gt;"",IF(AND(المدخلات!$H$54="سنوي",MOD(B224,12)=0),المدخلات!$J$54,IF(AND(المدخلات!$H$54="القسط (الدفعة) الاول",B224=1),المدخلات!$J$54,IF(المدخلات!$H$54="شهري",المدخلات!$J$54,""))),"")</f>
        <v/>
      </c>
      <c r="K224" s="6" t="str">
        <f>IF(B224&lt;&gt;"",IF(AND(المدخلات!$H$55="سنوي",MOD(B224,12)=0),المدخلات!$J$55,IF(AND(المدخلات!$H$55="القسط (الدفعة) الاول",B224=1),المدخلات!$J$55,IF(المدخلات!$H$55="شهري",المدخلات!$J$55,""))),"")</f>
        <v/>
      </c>
      <c r="L224" s="6">
        <f>IF(B224&lt;&gt;"",IF(AND(المدخلات!$H$56="سنوي",MOD(B224,12)=0),المدخلات!$J$56,IF(AND(المدخلات!$H$56="القسط (الدفعة) الاول",B224=1),المدخلات!$J$56,IF(المدخلات!$H$56="شهري",المدخلات!$J$56,""))),"")</f>
        <v>208.33333333333334</v>
      </c>
      <c r="M224" s="6" t="str">
        <f>IF(B224&lt;&gt;"",IF(AND(المدخلات!$H$57="سنوي",MOD(B224,12)=0),المدخلات!$J$57,IF(AND(المدخلات!$H$57="القسط (الدفعة) الاول",B224=1),المدخلات!$J$57,IF(المدخلات!$H$57="شهري",المدخلات!$J$57,""))),"")</f>
        <v/>
      </c>
      <c r="N224" s="6" t="str">
        <f>IF(B224&lt;&gt;"",IF(AND(المدخلات!$H$58="سنوي",MOD(B224,12)=0),المدخلات!$J$58,IF(AND(المدخلات!$H$58="القسط (الدفعة) الاول",B224=1),المدخلات!$J$58,IF(المدخلات!$H$58="شهري",المدخلات!$J$58,IF(AND(المدخلات!$H$58="End of the loan",B224=المدخلات!$E$58),المدخلات!$J$58,"")))),"")</f>
        <v/>
      </c>
      <c r="O224" s="6">
        <f t="shared" si="30"/>
        <v>208.33333333333334</v>
      </c>
      <c r="P224" s="4">
        <f t="shared" si="31"/>
        <v>10525.868335503435</v>
      </c>
      <c r="T224" s="9">
        <f t="shared" si="32"/>
        <v>51590</v>
      </c>
      <c r="U224" s="5">
        <f t="shared" si="33"/>
        <v>10525.87</v>
      </c>
    </row>
    <row r="225" spans="2:21" x14ac:dyDescent="0.2">
      <c r="B225" s="16">
        <f t="shared" si="36"/>
        <v>208</v>
      </c>
      <c r="C225" s="9">
        <f t="shared" si="37"/>
        <v>51621</v>
      </c>
      <c r="D225" s="6">
        <f>IFERROR((PPMT(المدخلات!$E$55/12,B225,$C$6,المدخلات!$E$54,-المدخلات!$E$65,0))," ")</f>
        <v>-7689.9529517503424</v>
      </c>
      <c r="E225" s="6">
        <f>IFERROR(((IPMT(المدخلات!$E$55/12,B225,$C$6,المدخلات!$E$54,-المدخلات!$E$65,0)))," ")</f>
        <v>-2627.5820504197582</v>
      </c>
      <c r="F225" s="6">
        <f t="shared" si="39"/>
        <v>-1034399.3237692572</v>
      </c>
      <c r="G225" s="6">
        <f t="shared" si="38"/>
        <v>-1111647.9566821235</v>
      </c>
      <c r="H225" s="6">
        <f t="shared" si="34"/>
        <v>-10317.535002170102</v>
      </c>
      <c r="I225" s="6">
        <f t="shared" si="35"/>
        <v>565600.67623074283</v>
      </c>
      <c r="J225" s="6" t="str">
        <f>IF(B225&lt;&gt;"",IF(AND(المدخلات!$H$54="سنوي",MOD(B225,12)=0),المدخلات!$J$54,IF(AND(المدخلات!$H$54="القسط (الدفعة) الاول",B225=1),المدخلات!$J$54,IF(المدخلات!$H$54="شهري",المدخلات!$J$54,""))),"")</f>
        <v/>
      </c>
      <c r="K225" s="6" t="str">
        <f>IF(B225&lt;&gt;"",IF(AND(المدخلات!$H$55="سنوي",MOD(B225,12)=0),المدخلات!$J$55,IF(AND(المدخلات!$H$55="القسط (الدفعة) الاول",B225=1),المدخلات!$J$55,IF(المدخلات!$H$55="شهري",المدخلات!$J$55,""))),"")</f>
        <v/>
      </c>
      <c r="L225" s="6">
        <f>IF(B225&lt;&gt;"",IF(AND(المدخلات!$H$56="سنوي",MOD(B225,12)=0),المدخلات!$J$56,IF(AND(المدخلات!$H$56="القسط (الدفعة) الاول",B225=1),المدخلات!$J$56,IF(المدخلات!$H$56="شهري",المدخلات!$J$56,""))),"")</f>
        <v>208.33333333333334</v>
      </c>
      <c r="M225" s="6" t="str">
        <f>IF(B225&lt;&gt;"",IF(AND(المدخلات!$H$57="سنوي",MOD(B225,12)=0),المدخلات!$J$57,IF(AND(المدخلات!$H$57="القسط (الدفعة) الاول",B225=1),المدخلات!$J$57,IF(المدخلات!$H$57="شهري",المدخلات!$J$57,""))),"")</f>
        <v/>
      </c>
      <c r="N225" s="6" t="str">
        <f>IF(B225&lt;&gt;"",IF(AND(المدخلات!$H$58="سنوي",MOD(B225,12)=0),المدخلات!$J$58,IF(AND(المدخلات!$H$58="القسط (الدفعة) الاول",B225=1),المدخلات!$J$58,IF(المدخلات!$H$58="شهري",المدخلات!$J$58,IF(AND(المدخلات!$H$58="End of the loan",B225=المدخلات!$E$58),المدخلات!$J$58,"")))),"")</f>
        <v/>
      </c>
      <c r="O225" s="6">
        <f t="shared" si="30"/>
        <v>208.33333333333334</v>
      </c>
      <c r="P225" s="4">
        <f t="shared" si="31"/>
        <v>10525.868335503435</v>
      </c>
      <c r="T225" s="9">
        <f t="shared" si="32"/>
        <v>51621</v>
      </c>
      <c r="U225" s="5">
        <f t="shared" si="33"/>
        <v>10525.87</v>
      </c>
    </row>
    <row r="226" spans="2:21" x14ac:dyDescent="0.2">
      <c r="B226" s="16">
        <f t="shared" si="36"/>
        <v>209</v>
      </c>
      <c r="C226" s="9">
        <f t="shared" si="37"/>
        <v>51651</v>
      </c>
      <c r="D226" s="6">
        <f>IFERROR((PPMT(المدخلات!$E$55/12,B226,$C$6,المدخلات!$E$54,-المدخلات!$E$65,0))," ")</f>
        <v>-7725.1985694458654</v>
      </c>
      <c r="E226" s="6">
        <f>IFERROR(((IPMT(المدخلات!$E$55/12,B226,$C$6,المدخلات!$E$54,-المدخلات!$E$65,0)))," ")</f>
        <v>-2592.3364327242357</v>
      </c>
      <c r="F226" s="6">
        <f t="shared" si="39"/>
        <v>-1042124.522338703</v>
      </c>
      <c r="G226" s="6">
        <f t="shared" si="38"/>
        <v>-1114240.2931148477</v>
      </c>
      <c r="H226" s="6">
        <f t="shared" si="34"/>
        <v>-10317.535002170102</v>
      </c>
      <c r="I226" s="6">
        <f t="shared" si="35"/>
        <v>557875.47766129696</v>
      </c>
      <c r="J226" s="6" t="str">
        <f>IF(B226&lt;&gt;"",IF(AND(المدخلات!$H$54="سنوي",MOD(B226,12)=0),المدخلات!$J$54,IF(AND(المدخلات!$H$54="القسط (الدفعة) الاول",B226=1),المدخلات!$J$54,IF(المدخلات!$H$54="شهري",المدخلات!$J$54,""))),"")</f>
        <v/>
      </c>
      <c r="K226" s="6" t="str">
        <f>IF(B226&lt;&gt;"",IF(AND(المدخلات!$H$55="سنوي",MOD(B226,12)=0),المدخلات!$J$55,IF(AND(المدخلات!$H$55="القسط (الدفعة) الاول",B226=1),المدخلات!$J$55,IF(المدخلات!$H$55="شهري",المدخلات!$J$55,""))),"")</f>
        <v/>
      </c>
      <c r="L226" s="6">
        <f>IF(B226&lt;&gt;"",IF(AND(المدخلات!$H$56="سنوي",MOD(B226,12)=0),المدخلات!$J$56,IF(AND(المدخلات!$H$56="القسط (الدفعة) الاول",B226=1),المدخلات!$J$56,IF(المدخلات!$H$56="شهري",المدخلات!$J$56,""))),"")</f>
        <v>208.33333333333334</v>
      </c>
      <c r="M226" s="6" t="str">
        <f>IF(B226&lt;&gt;"",IF(AND(المدخلات!$H$57="سنوي",MOD(B226,12)=0),المدخلات!$J$57,IF(AND(المدخلات!$H$57="القسط (الدفعة) الاول",B226=1),المدخلات!$J$57,IF(المدخلات!$H$57="شهري",المدخلات!$J$57,""))),"")</f>
        <v/>
      </c>
      <c r="N226" s="6" t="str">
        <f>IF(B226&lt;&gt;"",IF(AND(المدخلات!$H$58="سنوي",MOD(B226,12)=0),المدخلات!$J$58,IF(AND(المدخلات!$H$58="القسط (الدفعة) الاول",B226=1),المدخلات!$J$58,IF(المدخلات!$H$58="شهري",المدخلات!$J$58,IF(AND(المدخلات!$H$58="End of the loan",B226=المدخلات!$E$58),المدخلات!$J$58,"")))),"")</f>
        <v/>
      </c>
      <c r="O226" s="6">
        <f t="shared" si="30"/>
        <v>208.33333333333334</v>
      </c>
      <c r="P226" s="4">
        <f t="shared" si="31"/>
        <v>10525.868335503435</v>
      </c>
      <c r="T226" s="9">
        <f t="shared" si="32"/>
        <v>51651</v>
      </c>
      <c r="U226" s="5">
        <f t="shared" si="33"/>
        <v>10525.87</v>
      </c>
    </row>
    <row r="227" spans="2:21" x14ac:dyDescent="0.2">
      <c r="B227" s="16">
        <f t="shared" si="36"/>
        <v>210</v>
      </c>
      <c r="C227" s="9">
        <f t="shared" si="37"/>
        <v>51682</v>
      </c>
      <c r="D227" s="6">
        <f>IFERROR((PPMT(المدخلات!$E$55/12,B227,$C$6,المدخلات!$E$54,-المدخلات!$E$65,0))," ")</f>
        <v>-7760.6057295558257</v>
      </c>
      <c r="E227" s="6">
        <f>IFERROR(((IPMT(المدخلات!$E$55/12,B227,$C$6,المدخلات!$E$54,-المدخلات!$E$65,0)))," ")</f>
        <v>-2556.9292726142762</v>
      </c>
      <c r="F227" s="6">
        <f t="shared" si="39"/>
        <v>-1049885.1280682588</v>
      </c>
      <c r="G227" s="6">
        <f t="shared" si="38"/>
        <v>-1116797.2223874619</v>
      </c>
      <c r="H227" s="6">
        <f t="shared" si="34"/>
        <v>-10317.535002170102</v>
      </c>
      <c r="I227" s="6">
        <f t="shared" si="35"/>
        <v>550114.87193174125</v>
      </c>
      <c r="J227" s="6" t="str">
        <f>IF(B227&lt;&gt;"",IF(AND(المدخلات!$H$54="سنوي",MOD(B227,12)=0),المدخلات!$J$54,IF(AND(المدخلات!$H$54="القسط (الدفعة) الاول",B227=1),المدخلات!$J$54,IF(المدخلات!$H$54="شهري",المدخلات!$J$54,""))),"")</f>
        <v/>
      </c>
      <c r="K227" s="6" t="str">
        <f>IF(B227&lt;&gt;"",IF(AND(المدخلات!$H$55="سنوي",MOD(B227,12)=0),المدخلات!$J$55,IF(AND(المدخلات!$H$55="القسط (الدفعة) الاول",B227=1),المدخلات!$J$55,IF(المدخلات!$H$55="شهري",المدخلات!$J$55,""))),"")</f>
        <v/>
      </c>
      <c r="L227" s="6">
        <f>IF(B227&lt;&gt;"",IF(AND(المدخلات!$H$56="سنوي",MOD(B227,12)=0),المدخلات!$J$56,IF(AND(المدخلات!$H$56="القسط (الدفعة) الاول",B227=1),المدخلات!$J$56,IF(المدخلات!$H$56="شهري",المدخلات!$J$56,""))),"")</f>
        <v>208.33333333333334</v>
      </c>
      <c r="M227" s="6" t="str">
        <f>IF(B227&lt;&gt;"",IF(AND(المدخلات!$H$57="سنوي",MOD(B227,12)=0),المدخلات!$J$57,IF(AND(المدخلات!$H$57="القسط (الدفعة) الاول",B227=1),المدخلات!$J$57,IF(المدخلات!$H$57="شهري",المدخلات!$J$57,""))),"")</f>
        <v/>
      </c>
      <c r="N227" s="6" t="str">
        <f>IF(B227&lt;&gt;"",IF(AND(المدخلات!$H$58="سنوي",MOD(B227,12)=0),المدخلات!$J$58,IF(AND(المدخلات!$H$58="القسط (الدفعة) الاول",B227=1),المدخلات!$J$58,IF(المدخلات!$H$58="شهري",المدخلات!$J$58,IF(AND(المدخلات!$H$58="End of the loan",B227=المدخلات!$E$58),المدخلات!$J$58,"")))),"")</f>
        <v/>
      </c>
      <c r="O227" s="6">
        <f t="shared" si="30"/>
        <v>208.33333333333334</v>
      </c>
      <c r="P227" s="4">
        <f t="shared" si="31"/>
        <v>10525.868335503435</v>
      </c>
      <c r="T227" s="9">
        <f t="shared" si="32"/>
        <v>51682</v>
      </c>
      <c r="U227" s="5">
        <f t="shared" si="33"/>
        <v>10525.87</v>
      </c>
    </row>
    <row r="228" spans="2:21" x14ac:dyDescent="0.2">
      <c r="B228" s="16">
        <f t="shared" si="36"/>
        <v>211</v>
      </c>
      <c r="C228" s="9">
        <f t="shared" si="37"/>
        <v>51712</v>
      </c>
      <c r="D228" s="6">
        <f>IFERROR((PPMT(المدخلات!$E$55/12,B228,$C$6,المدخلات!$E$54,-المدخلات!$E$65,0))," ")</f>
        <v>-7796.1751724829564</v>
      </c>
      <c r="E228" s="6">
        <f>IFERROR(((IPMT(المدخلات!$E$55/12,B228,$C$6,المدخلات!$E$54,-المدخلات!$E$65,0)))," ")</f>
        <v>-2521.3598296871451</v>
      </c>
      <c r="F228" s="6">
        <f t="shared" si="39"/>
        <v>-1057681.3032407416</v>
      </c>
      <c r="G228" s="6">
        <f t="shared" si="38"/>
        <v>-1119318.582217149</v>
      </c>
      <c r="H228" s="6">
        <f t="shared" si="34"/>
        <v>-10317.535002170102</v>
      </c>
      <c r="I228" s="6">
        <f t="shared" si="35"/>
        <v>542318.6967592584</v>
      </c>
      <c r="J228" s="6" t="str">
        <f>IF(B228&lt;&gt;"",IF(AND(المدخلات!$H$54="سنوي",MOD(B228,12)=0),المدخلات!$J$54,IF(AND(المدخلات!$H$54="القسط (الدفعة) الاول",B228=1),المدخلات!$J$54,IF(المدخلات!$H$54="شهري",المدخلات!$J$54,""))),"")</f>
        <v/>
      </c>
      <c r="K228" s="6" t="str">
        <f>IF(B228&lt;&gt;"",IF(AND(المدخلات!$H$55="سنوي",MOD(B228,12)=0),المدخلات!$J$55,IF(AND(المدخلات!$H$55="القسط (الدفعة) الاول",B228=1),المدخلات!$J$55,IF(المدخلات!$H$55="شهري",المدخلات!$J$55,""))),"")</f>
        <v/>
      </c>
      <c r="L228" s="6">
        <f>IF(B228&lt;&gt;"",IF(AND(المدخلات!$H$56="سنوي",MOD(B228,12)=0),المدخلات!$J$56,IF(AND(المدخلات!$H$56="القسط (الدفعة) الاول",B228=1),المدخلات!$J$56,IF(المدخلات!$H$56="شهري",المدخلات!$J$56,""))),"")</f>
        <v>208.33333333333334</v>
      </c>
      <c r="M228" s="6" t="str">
        <f>IF(B228&lt;&gt;"",IF(AND(المدخلات!$H$57="سنوي",MOD(B228,12)=0),المدخلات!$J$57,IF(AND(المدخلات!$H$57="القسط (الدفعة) الاول",B228=1),المدخلات!$J$57,IF(المدخلات!$H$57="شهري",المدخلات!$J$57,""))),"")</f>
        <v/>
      </c>
      <c r="N228" s="6" t="str">
        <f>IF(B228&lt;&gt;"",IF(AND(المدخلات!$H$58="سنوي",MOD(B228,12)=0),المدخلات!$J$58,IF(AND(المدخلات!$H$58="القسط (الدفعة) الاول",B228=1),المدخلات!$J$58,IF(المدخلات!$H$58="شهري",المدخلات!$J$58,IF(AND(المدخلات!$H$58="End of the loan",B228=المدخلات!$E$58),المدخلات!$J$58,"")))),"")</f>
        <v/>
      </c>
      <c r="O228" s="6">
        <f t="shared" si="30"/>
        <v>208.33333333333334</v>
      </c>
      <c r="P228" s="4">
        <f t="shared" si="31"/>
        <v>10525.868335503435</v>
      </c>
      <c r="T228" s="9">
        <f t="shared" si="32"/>
        <v>51712</v>
      </c>
      <c r="U228" s="5">
        <f t="shared" si="33"/>
        <v>10525.87</v>
      </c>
    </row>
    <row r="229" spans="2:21" x14ac:dyDescent="0.2">
      <c r="B229" s="16">
        <f t="shared" si="36"/>
        <v>212</v>
      </c>
      <c r="C229" s="9">
        <f t="shared" si="37"/>
        <v>51743</v>
      </c>
      <c r="D229" s="6">
        <f>IFERROR((PPMT(المدخلات!$E$55/12,B229,$C$6,المدخلات!$E$54,-المدخلات!$E$65,0))," ")</f>
        <v>-7831.9076420235024</v>
      </c>
      <c r="E229" s="6">
        <f>IFERROR(((IPMT(المدخلات!$E$55/12,B229,$C$6,المدخلات!$E$54,-المدخلات!$E$65,0)))," ")</f>
        <v>-2485.6273601465978</v>
      </c>
      <c r="F229" s="6">
        <f t="shared" si="39"/>
        <v>-1065513.210882765</v>
      </c>
      <c r="G229" s="6">
        <f t="shared" si="38"/>
        <v>-1121804.2095772955</v>
      </c>
      <c r="H229" s="6">
        <f t="shared" si="34"/>
        <v>-10317.5350021701</v>
      </c>
      <c r="I229" s="6">
        <f t="shared" si="35"/>
        <v>534486.78911723499</v>
      </c>
      <c r="J229" s="6" t="str">
        <f>IF(B229&lt;&gt;"",IF(AND(المدخلات!$H$54="سنوي",MOD(B229,12)=0),المدخلات!$J$54,IF(AND(المدخلات!$H$54="القسط (الدفعة) الاول",B229=1),المدخلات!$J$54,IF(المدخلات!$H$54="شهري",المدخلات!$J$54,""))),"")</f>
        <v/>
      </c>
      <c r="K229" s="6" t="str">
        <f>IF(B229&lt;&gt;"",IF(AND(المدخلات!$H$55="سنوي",MOD(B229,12)=0),المدخلات!$J$55,IF(AND(المدخلات!$H$55="القسط (الدفعة) الاول",B229=1),المدخلات!$J$55,IF(المدخلات!$H$55="شهري",المدخلات!$J$55,""))),"")</f>
        <v/>
      </c>
      <c r="L229" s="6">
        <f>IF(B229&lt;&gt;"",IF(AND(المدخلات!$H$56="سنوي",MOD(B229,12)=0),المدخلات!$J$56,IF(AND(المدخلات!$H$56="القسط (الدفعة) الاول",B229=1),المدخلات!$J$56,IF(المدخلات!$H$56="شهري",المدخلات!$J$56,""))),"")</f>
        <v>208.33333333333334</v>
      </c>
      <c r="M229" s="6" t="str">
        <f>IF(B229&lt;&gt;"",IF(AND(المدخلات!$H$57="سنوي",MOD(B229,12)=0),المدخلات!$J$57,IF(AND(المدخلات!$H$57="القسط (الدفعة) الاول",B229=1),المدخلات!$J$57,IF(المدخلات!$H$57="شهري",المدخلات!$J$57,""))),"")</f>
        <v/>
      </c>
      <c r="N229" s="6" t="str">
        <f>IF(B229&lt;&gt;"",IF(AND(المدخلات!$H$58="سنوي",MOD(B229,12)=0),المدخلات!$J$58,IF(AND(المدخلات!$H$58="القسط (الدفعة) الاول",B229=1),المدخلات!$J$58,IF(المدخلات!$H$58="شهري",المدخلات!$J$58,IF(AND(المدخلات!$H$58="End of the loan",B229=المدخلات!$E$58),المدخلات!$J$58,"")))),"")</f>
        <v/>
      </c>
      <c r="O229" s="6">
        <f t="shared" si="30"/>
        <v>208.33333333333334</v>
      </c>
      <c r="P229" s="4">
        <f t="shared" si="31"/>
        <v>10525.868335503434</v>
      </c>
      <c r="T229" s="9">
        <f t="shared" si="32"/>
        <v>51743</v>
      </c>
      <c r="U229" s="5">
        <f t="shared" si="33"/>
        <v>10525.87</v>
      </c>
    </row>
    <row r="230" spans="2:21" x14ac:dyDescent="0.2">
      <c r="B230" s="16">
        <f t="shared" si="36"/>
        <v>213</v>
      </c>
      <c r="C230" s="9">
        <f t="shared" si="37"/>
        <v>51774</v>
      </c>
      <c r="D230" s="6">
        <f>IFERROR((PPMT(المدخلات!$E$55/12,B230,$C$6,المدخلات!$E$54,-المدخلات!$E$65,0))," ")</f>
        <v>-7867.8038853827775</v>
      </c>
      <c r="E230" s="6">
        <f>IFERROR(((IPMT(المدخلات!$E$55/12,B230,$C$6,المدخلات!$E$54,-المدخلات!$E$65,0)))," ")</f>
        <v>-2449.731116787324</v>
      </c>
      <c r="F230" s="6">
        <f t="shared" si="39"/>
        <v>-1073381.0147681478</v>
      </c>
      <c r="G230" s="6">
        <f t="shared" si="38"/>
        <v>-1124253.9406940828</v>
      </c>
      <c r="H230" s="6">
        <f t="shared" si="34"/>
        <v>-10317.535002170102</v>
      </c>
      <c r="I230" s="6">
        <f t="shared" si="35"/>
        <v>526618.98523185216</v>
      </c>
      <c r="J230" s="6" t="str">
        <f>IF(B230&lt;&gt;"",IF(AND(المدخلات!$H$54="سنوي",MOD(B230,12)=0),المدخلات!$J$54,IF(AND(المدخلات!$H$54="القسط (الدفعة) الاول",B230=1),المدخلات!$J$54,IF(المدخلات!$H$54="شهري",المدخلات!$J$54,""))),"")</f>
        <v/>
      </c>
      <c r="K230" s="6" t="str">
        <f>IF(B230&lt;&gt;"",IF(AND(المدخلات!$H$55="سنوي",MOD(B230,12)=0),المدخلات!$J$55,IF(AND(المدخلات!$H$55="القسط (الدفعة) الاول",B230=1),المدخلات!$J$55,IF(المدخلات!$H$55="شهري",المدخلات!$J$55,""))),"")</f>
        <v/>
      </c>
      <c r="L230" s="6">
        <f>IF(B230&lt;&gt;"",IF(AND(المدخلات!$H$56="سنوي",MOD(B230,12)=0),المدخلات!$J$56,IF(AND(المدخلات!$H$56="القسط (الدفعة) الاول",B230=1),المدخلات!$J$56,IF(المدخلات!$H$56="شهري",المدخلات!$J$56,""))),"")</f>
        <v>208.33333333333334</v>
      </c>
      <c r="M230" s="6" t="str">
        <f>IF(B230&lt;&gt;"",IF(AND(المدخلات!$H$57="سنوي",MOD(B230,12)=0),المدخلات!$J$57,IF(AND(المدخلات!$H$57="القسط (الدفعة) الاول",B230=1),المدخلات!$J$57,IF(المدخلات!$H$57="شهري",المدخلات!$J$57,""))),"")</f>
        <v/>
      </c>
      <c r="N230" s="6" t="str">
        <f>IF(B230&lt;&gt;"",IF(AND(المدخلات!$H$58="سنوي",MOD(B230,12)=0),المدخلات!$J$58,IF(AND(المدخلات!$H$58="القسط (الدفعة) الاول",B230=1),المدخلات!$J$58,IF(المدخلات!$H$58="شهري",المدخلات!$J$58,IF(AND(المدخلات!$H$58="End of the loan",B230=المدخلات!$E$58),المدخلات!$J$58,"")))),"")</f>
        <v/>
      </c>
      <c r="O230" s="6">
        <f t="shared" si="30"/>
        <v>208.33333333333334</v>
      </c>
      <c r="P230" s="4">
        <f t="shared" si="31"/>
        <v>10525.868335503435</v>
      </c>
      <c r="T230" s="9">
        <f t="shared" si="32"/>
        <v>51774</v>
      </c>
      <c r="U230" s="5">
        <f t="shared" si="33"/>
        <v>10525.87</v>
      </c>
    </row>
    <row r="231" spans="2:21" x14ac:dyDescent="0.2">
      <c r="B231" s="16">
        <f t="shared" si="36"/>
        <v>214</v>
      </c>
      <c r="C231" s="9">
        <f t="shared" si="37"/>
        <v>51804</v>
      </c>
      <c r="D231" s="6">
        <f>IFERROR((PPMT(المدخلات!$E$55/12,B231,$C$6,المدخلات!$E$54,-المدخلات!$E$65,0))," ")</f>
        <v>-7903.8646531907825</v>
      </c>
      <c r="E231" s="6">
        <f>IFERROR(((IPMT(المدخلات!$E$55/12,B231,$C$6,المدخلات!$E$54,-المدخلات!$E$65,0)))," ")</f>
        <v>-2413.670348979319</v>
      </c>
      <c r="F231" s="6">
        <f t="shared" si="39"/>
        <v>-1081284.8794213387</v>
      </c>
      <c r="G231" s="6">
        <f t="shared" si="38"/>
        <v>-1126667.6110430621</v>
      </c>
      <c r="H231" s="6">
        <f t="shared" si="34"/>
        <v>-10317.535002170102</v>
      </c>
      <c r="I231" s="6">
        <f t="shared" si="35"/>
        <v>518715.12057866133</v>
      </c>
      <c r="J231" s="6" t="str">
        <f>IF(B231&lt;&gt;"",IF(AND(المدخلات!$H$54="سنوي",MOD(B231,12)=0),المدخلات!$J$54,IF(AND(المدخلات!$H$54="القسط (الدفعة) الاول",B231=1),المدخلات!$J$54,IF(المدخلات!$H$54="شهري",المدخلات!$J$54,""))),"")</f>
        <v/>
      </c>
      <c r="K231" s="6" t="str">
        <f>IF(B231&lt;&gt;"",IF(AND(المدخلات!$H$55="سنوي",MOD(B231,12)=0),المدخلات!$J$55,IF(AND(المدخلات!$H$55="القسط (الدفعة) الاول",B231=1),المدخلات!$J$55,IF(المدخلات!$H$55="شهري",المدخلات!$J$55,""))),"")</f>
        <v/>
      </c>
      <c r="L231" s="6">
        <f>IF(B231&lt;&gt;"",IF(AND(المدخلات!$H$56="سنوي",MOD(B231,12)=0),المدخلات!$J$56,IF(AND(المدخلات!$H$56="القسط (الدفعة) الاول",B231=1),المدخلات!$J$56,IF(المدخلات!$H$56="شهري",المدخلات!$J$56,""))),"")</f>
        <v>208.33333333333334</v>
      </c>
      <c r="M231" s="6" t="str">
        <f>IF(B231&lt;&gt;"",IF(AND(المدخلات!$H$57="سنوي",MOD(B231,12)=0),المدخلات!$J$57,IF(AND(المدخلات!$H$57="القسط (الدفعة) الاول",B231=1),المدخلات!$J$57,IF(المدخلات!$H$57="شهري",المدخلات!$J$57,""))),"")</f>
        <v/>
      </c>
      <c r="N231" s="6" t="str">
        <f>IF(B231&lt;&gt;"",IF(AND(المدخلات!$H$58="سنوي",MOD(B231,12)=0),المدخلات!$J$58,IF(AND(المدخلات!$H$58="القسط (الدفعة) الاول",B231=1),المدخلات!$J$58,IF(المدخلات!$H$58="شهري",المدخلات!$J$58,IF(AND(المدخلات!$H$58="End of the loan",B231=المدخلات!$E$58),المدخلات!$J$58,"")))),"")</f>
        <v/>
      </c>
      <c r="O231" s="6">
        <f t="shared" si="30"/>
        <v>208.33333333333334</v>
      </c>
      <c r="P231" s="4">
        <f t="shared" si="31"/>
        <v>10525.868335503435</v>
      </c>
      <c r="T231" s="9">
        <f t="shared" si="32"/>
        <v>51804</v>
      </c>
      <c r="U231" s="5">
        <f t="shared" si="33"/>
        <v>10525.87</v>
      </c>
    </row>
    <row r="232" spans="2:21" x14ac:dyDescent="0.2">
      <c r="B232" s="16">
        <f t="shared" si="36"/>
        <v>215</v>
      </c>
      <c r="C232" s="9">
        <f t="shared" si="37"/>
        <v>51835</v>
      </c>
      <c r="D232" s="6">
        <f>IFERROR((PPMT(المدخلات!$E$55/12,B232,$C$6,المدخلات!$E$54,-المدخلات!$E$65,0))," ")</f>
        <v>-7940.0906995179066</v>
      </c>
      <c r="E232" s="6">
        <f>IFERROR(((IPMT(المدخلات!$E$55/12,B232,$C$6,المدخلات!$E$54,-المدخلات!$E$65,0)))," ")</f>
        <v>-2377.4443026521949</v>
      </c>
      <c r="F232" s="6">
        <f t="shared" si="39"/>
        <v>-1089224.9701208565</v>
      </c>
      <c r="G232" s="6">
        <f t="shared" si="38"/>
        <v>-1129045.0553457143</v>
      </c>
      <c r="H232" s="6">
        <f t="shared" si="34"/>
        <v>-10317.535002170102</v>
      </c>
      <c r="I232" s="6">
        <f t="shared" si="35"/>
        <v>510775.02987914346</v>
      </c>
      <c r="J232" s="6" t="str">
        <f>IF(B232&lt;&gt;"",IF(AND(المدخلات!$H$54="سنوي",MOD(B232,12)=0),المدخلات!$J$54,IF(AND(المدخلات!$H$54="القسط (الدفعة) الاول",B232=1),المدخلات!$J$54,IF(المدخلات!$H$54="شهري",المدخلات!$J$54,""))),"")</f>
        <v/>
      </c>
      <c r="K232" s="6" t="str">
        <f>IF(B232&lt;&gt;"",IF(AND(المدخلات!$H$55="سنوي",MOD(B232,12)=0),المدخلات!$J$55,IF(AND(المدخلات!$H$55="القسط (الدفعة) الاول",B232=1),المدخلات!$J$55,IF(المدخلات!$H$55="شهري",المدخلات!$J$55,""))),"")</f>
        <v/>
      </c>
      <c r="L232" s="6">
        <f>IF(B232&lt;&gt;"",IF(AND(المدخلات!$H$56="سنوي",MOD(B232,12)=0),المدخلات!$J$56,IF(AND(المدخلات!$H$56="القسط (الدفعة) الاول",B232=1),المدخلات!$J$56,IF(المدخلات!$H$56="شهري",المدخلات!$J$56,""))),"")</f>
        <v>208.33333333333334</v>
      </c>
      <c r="M232" s="6" t="str">
        <f>IF(B232&lt;&gt;"",IF(AND(المدخلات!$H$57="سنوي",MOD(B232,12)=0),المدخلات!$J$57,IF(AND(المدخلات!$H$57="القسط (الدفعة) الاول",B232=1),المدخلات!$J$57,IF(المدخلات!$H$57="شهري",المدخلات!$J$57,""))),"")</f>
        <v/>
      </c>
      <c r="N232" s="6" t="str">
        <f>IF(B232&lt;&gt;"",IF(AND(المدخلات!$H$58="سنوي",MOD(B232,12)=0),المدخلات!$J$58,IF(AND(المدخلات!$H$58="القسط (الدفعة) الاول",B232=1),المدخلات!$J$58,IF(المدخلات!$H$58="شهري",المدخلات!$J$58,IF(AND(المدخلات!$H$58="End of the loan",B232=المدخلات!$E$58),المدخلات!$J$58,"")))),"")</f>
        <v/>
      </c>
      <c r="O232" s="6">
        <f t="shared" si="30"/>
        <v>208.33333333333334</v>
      </c>
      <c r="P232" s="4">
        <f t="shared" si="31"/>
        <v>10525.868335503435</v>
      </c>
      <c r="T232" s="9">
        <f t="shared" si="32"/>
        <v>51835</v>
      </c>
      <c r="U232" s="5">
        <f t="shared" si="33"/>
        <v>10525.87</v>
      </c>
    </row>
    <row r="233" spans="2:21" x14ac:dyDescent="0.2">
      <c r="B233" s="16">
        <f t="shared" si="36"/>
        <v>216</v>
      </c>
      <c r="C233" s="9">
        <f t="shared" si="37"/>
        <v>51865</v>
      </c>
      <c r="D233" s="6">
        <f>IFERROR((PPMT(المدخلات!$E$55/12,B233,$C$6,المدخلات!$E$54,-المدخلات!$E$65,0))," ")</f>
        <v>-7976.482781890697</v>
      </c>
      <c r="E233" s="6">
        <f>IFERROR(((IPMT(المدخلات!$E$55/12,B233,$C$6,المدخلات!$E$54,-المدخلات!$E$65,0)))," ")</f>
        <v>-2341.0522202794045</v>
      </c>
      <c r="F233" s="6">
        <f t="shared" si="39"/>
        <v>-1097201.4529027473</v>
      </c>
      <c r="G233" s="6">
        <f t="shared" si="38"/>
        <v>-1131386.1075659937</v>
      </c>
      <c r="H233" s="6">
        <f t="shared" si="34"/>
        <v>-10317.535002170102</v>
      </c>
      <c r="I233" s="6">
        <f t="shared" si="35"/>
        <v>502798.54709725268</v>
      </c>
      <c r="J233" s="6" t="str">
        <f>IF(B233&lt;&gt;"",IF(AND(المدخلات!$H$54="سنوي",MOD(B233,12)=0),المدخلات!$J$54,IF(AND(المدخلات!$H$54="القسط (الدفعة) الاول",B233=1),المدخلات!$J$54,IF(المدخلات!$H$54="شهري",المدخلات!$J$54,""))),"")</f>
        <v/>
      </c>
      <c r="K233" s="6" t="str">
        <f>IF(B233&lt;&gt;"",IF(AND(المدخلات!$H$55="سنوي",MOD(B233,12)=0),المدخلات!$J$55,IF(AND(المدخلات!$H$55="القسط (الدفعة) الاول",B233=1),المدخلات!$J$55,IF(المدخلات!$H$55="شهري",المدخلات!$J$55,""))),"")</f>
        <v/>
      </c>
      <c r="L233" s="6">
        <f>IF(B233&lt;&gt;"",IF(AND(المدخلات!$H$56="سنوي",MOD(B233,12)=0),المدخلات!$J$56,IF(AND(المدخلات!$H$56="القسط (الدفعة) الاول",B233=1),المدخلات!$J$56,IF(المدخلات!$H$56="شهري",المدخلات!$J$56,""))),"")</f>
        <v>208.33333333333334</v>
      </c>
      <c r="M233" s="6" t="str">
        <f>IF(B233&lt;&gt;"",IF(AND(المدخلات!$H$57="سنوي",MOD(B233,12)=0),المدخلات!$J$57,IF(AND(المدخلات!$H$57="القسط (الدفعة) الاول",B233=1),المدخلات!$J$57,IF(المدخلات!$H$57="شهري",المدخلات!$J$57,""))),"")</f>
        <v/>
      </c>
      <c r="N233" s="6">
        <f>IF(B233&lt;&gt;"",IF(AND(المدخلات!$H$58="سنوي",MOD(B233,12)=0),المدخلات!$J$58,IF(AND(المدخلات!$H$58="القسط (الدفعة) الاول",B233=1),المدخلات!$J$58,IF(المدخلات!$H$58="شهري",المدخلات!$J$58,IF(AND(المدخلات!$H$58="End of the loan",B233=المدخلات!$E$58),المدخلات!$J$58,"")))),"")</f>
        <v>0</v>
      </c>
      <c r="O233" s="6">
        <f t="shared" si="30"/>
        <v>208.33333333333334</v>
      </c>
      <c r="P233" s="4">
        <f t="shared" si="31"/>
        <v>10525.868335503435</v>
      </c>
      <c r="T233" s="9">
        <f t="shared" si="32"/>
        <v>51865</v>
      </c>
      <c r="U233" s="5">
        <f t="shared" si="33"/>
        <v>10525.87</v>
      </c>
    </row>
    <row r="234" spans="2:21" x14ac:dyDescent="0.2">
      <c r="B234" s="16">
        <f t="shared" si="36"/>
        <v>217</v>
      </c>
      <c r="C234" s="9">
        <f t="shared" si="37"/>
        <v>51896</v>
      </c>
      <c r="D234" s="6">
        <f>IFERROR((PPMT(المدخلات!$E$55/12,B234,$C$6,المدخلات!$E$54,-المدخلات!$E$65,0))," ")</f>
        <v>-8013.0416613076959</v>
      </c>
      <c r="E234" s="6">
        <f>IFERROR(((IPMT(المدخلات!$E$55/12,B234,$C$6,المدخلات!$E$54,-المدخلات!$E$65,0)))," ")</f>
        <v>-2304.4933408624056</v>
      </c>
      <c r="F234" s="6">
        <f t="shared" si="39"/>
        <v>-1105214.494564055</v>
      </c>
      <c r="G234" s="6">
        <f t="shared" si="38"/>
        <v>-1133690.6009068561</v>
      </c>
      <c r="H234" s="6">
        <f t="shared" si="34"/>
        <v>-10317.535002170102</v>
      </c>
      <c r="I234" s="6">
        <f t="shared" si="35"/>
        <v>494785.505435945</v>
      </c>
      <c r="J234" s="6" t="str">
        <f>IF(B234&lt;&gt;"",IF(AND(المدخلات!$H$54="سنوي",MOD(B234,12)=0),المدخلات!$J$54,IF(AND(المدخلات!$H$54="القسط (الدفعة) الاول",B234=1),المدخلات!$J$54,IF(المدخلات!$H$54="شهري",المدخلات!$J$54,""))),"")</f>
        <v/>
      </c>
      <c r="K234" s="6" t="str">
        <f>IF(B234&lt;&gt;"",IF(AND(المدخلات!$H$55="سنوي",MOD(B234,12)=0),المدخلات!$J$55,IF(AND(المدخلات!$H$55="القسط (الدفعة) الاول",B234=1),المدخلات!$J$55,IF(المدخلات!$H$55="شهري",المدخلات!$J$55,""))),"")</f>
        <v/>
      </c>
      <c r="L234" s="6">
        <f>IF(B234&lt;&gt;"",IF(AND(المدخلات!$H$56="سنوي",MOD(B234,12)=0),المدخلات!$J$56,IF(AND(المدخلات!$H$56="القسط (الدفعة) الاول",B234=1),المدخلات!$J$56,IF(المدخلات!$H$56="شهري",المدخلات!$J$56,""))),"")</f>
        <v>208.33333333333334</v>
      </c>
      <c r="M234" s="6" t="str">
        <f>IF(B234&lt;&gt;"",IF(AND(المدخلات!$H$57="سنوي",MOD(B234,12)=0),المدخلات!$J$57,IF(AND(المدخلات!$H$57="القسط (الدفعة) الاول",B234=1),المدخلات!$J$57,IF(المدخلات!$H$57="شهري",المدخلات!$J$57,""))),"")</f>
        <v/>
      </c>
      <c r="N234" s="6" t="str">
        <f>IF(B234&lt;&gt;"",IF(AND(المدخلات!$H$58="سنوي",MOD(B234,12)=0),المدخلات!$J$58,IF(AND(المدخلات!$H$58="القسط (الدفعة) الاول",B234=1),المدخلات!$J$58,IF(المدخلات!$H$58="شهري",المدخلات!$J$58,IF(AND(المدخلات!$H$58="End of the loan",B234=المدخلات!$E$58),المدخلات!$J$58,"")))),"")</f>
        <v/>
      </c>
      <c r="O234" s="6">
        <f t="shared" si="30"/>
        <v>208.33333333333334</v>
      </c>
      <c r="P234" s="4">
        <f t="shared" si="31"/>
        <v>10525.868335503435</v>
      </c>
      <c r="T234" s="9">
        <f t="shared" si="32"/>
        <v>51896</v>
      </c>
      <c r="U234" s="5">
        <f t="shared" si="33"/>
        <v>10525.87</v>
      </c>
    </row>
    <row r="235" spans="2:21" x14ac:dyDescent="0.2">
      <c r="B235" s="16">
        <f t="shared" si="36"/>
        <v>218</v>
      </c>
      <c r="C235" s="9">
        <f t="shared" si="37"/>
        <v>51925</v>
      </c>
      <c r="D235" s="6">
        <f>IFERROR((PPMT(المدخلات!$E$55/12,B235,$C$6,المدخلات!$E$54,-المدخلات!$E$65,0))," ")</f>
        <v>-8049.7681022553561</v>
      </c>
      <c r="E235" s="6">
        <f>IFERROR(((IPMT(المدخلات!$E$55/12,B235,$C$6,المدخلات!$E$54,-المدخلات!$E$65,0)))," ")</f>
        <v>-2267.7668999147454</v>
      </c>
      <c r="F235" s="6">
        <f t="shared" si="39"/>
        <v>-1113264.2626663104</v>
      </c>
      <c r="G235" s="6">
        <f t="shared" si="38"/>
        <v>-1135958.3678067708</v>
      </c>
      <c r="H235" s="6">
        <f t="shared" si="34"/>
        <v>-10317.535002170102</v>
      </c>
      <c r="I235" s="6">
        <f t="shared" si="35"/>
        <v>486735.73733368958</v>
      </c>
      <c r="J235" s="6" t="str">
        <f>IF(B235&lt;&gt;"",IF(AND(المدخلات!$H$54="سنوي",MOD(B235,12)=0),المدخلات!$J$54,IF(AND(المدخلات!$H$54="القسط (الدفعة) الاول",B235=1),المدخلات!$J$54,IF(المدخلات!$H$54="شهري",المدخلات!$J$54,""))),"")</f>
        <v/>
      </c>
      <c r="K235" s="6" t="str">
        <f>IF(B235&lt;&gt;"",IF(AND(المدخلات!$H$55="سنوي",MOD(B235,12)=0),المدخلات!$J$55,IF(AND(المدخلات!$H$55="القسط (الدفعة) الاول",B235=1),المدخلات!$J$55,IF(المدخلات!$H$55="شهري",المدخلات!$J$55,""))),"")</f>
        <v/>
      </c>
      <c r="L235" s="6">
        <f>IF(B235&lt;&gt;"",IF(AND(المدخلات!$H$56="سنوي",MOD(B235,12)=0),المدخلات!$J$56,IF(AND(المدخلات!$H$56="القسط (الدفعة) الاول",B235=1),المدخلات!$J$56,IF(المدخلات!$H$56="شهري",المدخلات!$J$56,""))),"")</f>
        <v>208.33333333333334</v>
      </c>
      <c r="M235" s="6" t="str">
        <f>IF(B235&lt;&gt;"",IF(AND(المدخلات!$H$57="سنوي",MOD(B235,12)=0),المدخلات!$J$57,IF(AND(المدخلات!$H$57="القسط (الدفعة) الاول",B235=1),المدخلات!$J$57,IF(المدخلات!$H$57="شهري",المدخلات!$J$57,""))),"")</f>
        <v/>
      </c>
      <c r="N235" s="6" t="str">
        <f>IF(B235&lt;&gt;"",IF(AND(المدخلات!$H$58="سنوي",MOD(B235,12)=0),المدخلات!$J$58,IF(AND(المدخلات!$H$58="القسط (الدفعة) الاول",B235=1),المدخلات!$J$58,IF(المدخلات!$H$58="شهري",المدخلات!$J$58,IF(AND(المدخلات!$H$58="End of the loan",B235=المدخلات!$E$58),المدخلات!$J$58,"")))),"")</f>
        <v/>
      </c>
      <c r="O235" s="6">
        <f t="shared" si="30"/>
        <v>208.33333333333334</v>
      </c>
      <c r="P235" s="4">
        <f t="shared" si="31"/>
        <v>10525.868335503435</v>
      </c>
      <c r="T235" s="9">
        <f t="shared" si="32"/>
        <v>51925</v>
      </c>
      <c r="U235" s="5">
        <f t="shared" si="33"/>
        <v>10525.87</v>
      </c>
    </row>
    <row r="236" spans="2:21" x14ac:dyDescent="0.2">
      <c r="B236" s="16">
        <f t="shared" si="36"/>
        <v>219</v>
      </c>
      <c r="C236" s="9">
        <f t="shared" si="37"/>
        <v>51955</v>
      </c>
      <c r="D236" s="6">
        <f>IFERROR((PPMT(المدخلات!$E$55/12,B236,$C$6,المدخلات!$E$54,-المدخلات!$E$65,0))," ")</f>
        <v>-8086.6628727240259</v>
      </c>
      <c r="E236" s="6">
        <f>IFERROR(((IPMT(المدخلات!$E$55/12,B236,$C$6,المدخلات!$E$54,-المدخلات!$E$65,0)))," ")</f>
        <v>-2230.8721294460747</v>
      </c>
      <c r="F236" s="6">
        <f t="shared" si="39"/>
        <v>-1121350.9255390344</v>
      </c>
      <c r="G236" s="6">
        <f t="shared" si="38"/>
        <v>-1138189.239936217</v>
      </c>
      <c r="H236" s="6">
        <f t="shared" si="34"/>
        <v>-10317.535002170102</v>
      </c>
      <c r="I236" s="6">
        <f t="shared" si="35"/>
        <v>478649.07446096558</v>
      </c>
      <c r="J236" s="6" t="str">
        <f>IF(B236&lt;&gt;"",IF(AND(المدخلات!$H$54="سنوي",MOD(B236,12)=0),المدخلات!$J$54,IF(AND(المدخلات!$H$54="القسط (الدفعة) الاول",B236=1),المدخلات!$J$54,IF(المدخلات!$H$54="شهري",المدخلات!$J$54,""))),"")</f>
        <v/>
      </c>
      <c r="K236" s="6" t="str">
        <f>IF(B236&lt;&gt;"",IF(AND(المدخلات!$H$55="سنوي",MOD(B236,12)=0),المدخلات!$J$55,IF(AND(المدخلات!$H$55="القسط (الدفعة) الاول",B236=1),المدخلات!$J$55,IF(المدخلات!$H$55="شهري",المدخلات!$J$55,""))),"")</f>
        <v/>
      </c>
      <c r="L236" s="6">
        <f>IF(B236&lt;&gt;"",IF(AND(المدخلات!$H$56="سنوي",MOD(B236,12)=0),المدخلات!$J$56,IF(AND(المدخلات!$H$56="القسط (الدفعة) الاول",B236=1),المدخلات!$J$56,IF(المدخلات!$H$56="شهري",المدخلات!$J$56,""))),"")</f>
        <v>208.33333333333334</v>
      </c>
      <c r="M236" s="6" t="str">
        <f>IF(B236&lt;&gt;"",IF(AND(المدخلات!$H$57="سنوي",MOD(B236,12)=0),المدخلات!$J$57,IF(AND(المدخلات!$H$57="القسط (الدفعة) الاول",B236=1),المدخلات!$J$57,IF(المدخلات!$H$57="شهري",المدخلات!$J$57,""))),"")</f>
        <v/>
      </c>
      <c r="N236" s="6" t="str">
        <f>IF(B236&lt;&gt;"",IF(AND(المدخلات!$H$58="سنوي",MOD(B236,12)=0),المدخلات!$J$58,IF(AND(المدخلات!$H$58="القسط (الدفعة) الاول",B236=1),المدخلات!$J$58,IF(المدخلات!$H$58="شهري",المدخلات!$J$58,IF(AND(المدخلات!$H$58="End of the loan",B236=المدخلات!$E$58),المدخلات!$J$58,"")))),"")</f>
        <v/>
      </c>
      <c r="O236" s="6">
        <f t="shared" si="30"/>
        <v>208.33333333333334</v>
      </c>
      <c r="P236" s="4">
        <f t="shared" si="31"/>
        <v>10525.868335503435</v>
      </c>
      <c r="T236" s="9">
        <f t="shared" si="32"/>
        <v>51955</v>
      </c>
      <c r="U236" s="5">
        <f t="shared" si="33"/>
        <v>10525.87</v>
      </c>
    </row>
    <row r="237" spans="2:21" x14ac:dyDescent="0.2">
      <c r="B237" s="16">
        <f t="shared" si="36"/>
        <v>220</v>
      </c>
      <c r="C237" s="9">
        <f t="shared" si="37"/>
        <v>51986</v>
      </c>
      <c r="D237" s="6">
        <f>IFERROR((PPMT(المدخلات!$E$55/12,B237,$C$6,المدخلات!$E$54,-المدخلات!$E$65,0))," ")</f>
        <v>-8123.7267442240118</v>
      </c>
      <c r="E237" s="6">
        <f>IFERROR(((IPMT(المدخلات!$E$55/12,B237,$C$6,المدخلات!$E$54,-المدخلات!$E$65,0)))," ")</f>
        <v>-2193.8082579460897</v>
      </c>
      <c r="F237" s="6">
        <f t="shared" si="39"/>
        <v>-1129474.6522832585</v>
      </c>
      <c r="G237" s="6">
        <f t="shared" si="38"/>
        <v>-1140383.048194163</v>
      </c>
      <c r="H237" s="6">
        <f t="shared" si="34"/>
        <v>-10317.535002170102</v>
      </c>
      <c r="I237" s="6">
        <f t="shared" si="35"/>
        <v>470525.3477167415</v>
      </c>
      <c r="J237" s="6" t="str">
        <f>IF(B237&lt;&gt;"",IF(AND(المدخلات!$H$54="سنوي",MOD(B237,12)=0),المدخلات!$J$54,IF(AND(المدخلات!$H$54="القسط (الدفعة) الاول",B237=1),المدخلات!$J$54,IF(المدخلات!$H$54="شهري",المدخلات!$J$54,""))),"")</f>
        <v/>
      </c>
      <c r="K237" s="6" t="str">
        <f>IF(B237&lt;&gt;"",IF(AND(المدخلات!$H$55="سنوي",MOD(B237,12)=0),المدخلات!$J$55,IF(AND(المدخلات!$H$55="القسط (الدفعة) الاول",B237=1),المدخلات!$J$55,IF(المدخلات!$H$55="شهري",المدخلات!$J$55,""))),"")</f>
        <v/>
      </c>
      <c r="L237" s="6">
        <f>IF(B237&lt;&gt;"",IF(AND(المدخلات!$H$56="سنوي",MOD(B237,12)=0),المدخلات!$J$56,IF(AND(المدخلات!$H$56="القسط (الدفعة) الاول",B237=1),المدخلات!$J$56,IF(المدخلات!$H$56="شهري",المدخلات!$J$56,""))),"")</f>
        <v>208.33333333333334</v>
      </c>
      <c r="M237" s="6" t="str">
        <f>IF(B237&lt;&gt;"",IF(AND(المدخلات!$H$57="سنوي",MOD(B237,12)=0),المدخلات!$J$57,IF(AND(المدخلات!$H$57="القسط (الدفعة) الاول",B237=1),المدخلات!$J$57,IF(المدخلات!$H$57="شهري",المدخلات!$J$57,""))),"")</f>
        <v/>
      </c>
      <c r="N237" s="6" t="str">
        <f>IF(B237&lt;&gt;"",IF(AND(المدخلات!$H$58="سنوي",MOD(B237,12)=0),المدخلات!$J$58,IF(AND(المدخلات!$H$58="القسط (الدفعة) الاول",B237=1),المدخلات!$J$58,IF(المدخلات!$H$58="شهري",المدخلات!$J$58,IF(AND(المدخلات!$H$58="End of the loan",B237=المدخلات!$E$58),المدخلات!$J$58,"")))),"")</f>
        <v/>
      </c>
      <c r="O237" s="6">
        <f t="shared" si="30"/>
        <v>208.33333333333334</v>
      </c>
      <c r="P237" s="4">
        <f t="shared" si="31"/>
        <v>10525.868335503435</v>
      </c>
      <c r="T237" s="9">
        <f t="shared" si="32"/>
        <v>51986</v>
      </c>
      <c r="U237" s="5">
        <f t="shared" si="33"/>
        <v>10525.87</v>
      </c>
    </row>
    <row r="238" spans="2:21" x14ac:dyDescent="0.2">
      <c r="B238" s="16">
        <f t="shared" si="36"/>
        <v>221</v>
      </c>
      <c r="C238" s="9">
        <f t="shared" si="37"/>
        <v>52016</v>
      </c>
      <c r="D238" s="6">
        <f>IFERROR((PPMT(المدخلات!$E$55/12,B238,$C$6,المدخلات!$E$54,-المدخلات!$E$65,0))," ")</f>
        <v>-8160.9604918017048</v>
      </c>
      <c r="E238" s="6">
        <f>IFERROR(((IPMT(المدخلات!$E$55/12,B238,$C$6,المدخلات!$E$54,-المدخلات!$E$65,0)))," ")</f>
        <v>-2156.5745103683962</v>
      </c>
      <c r="F238" s="6">
        <f t="shared" si="39"/>
        <v>-1137635.6127750601</v>
      </c>
      <c r="G238" s="6">
        <f t="shared" si="38"/>
        <v>-1142539.6227045313</v>
      </c>
      <c r="H238" s="6">
        <f t="shared" si="34"/>
        <v>-10317.535002170102</v>
      </c>
      <c r="I238" s="6">
        <f t="shared" si="35"/>
        <v>462364.38722493988</v>
      </c>
      <c r="J238" s="6" t="str">
        <f>IF(B238&lt;&gt;"",IF(AND(المدخلات!$H$54="سنوي",MOD(B238,12)=0),المدخلات!$J$54,IF(AND(المدخلات!$H$54="القسط (الدفعة) الاول",B238=1),المدخلات!$J$54,IF(المدخلات!$H$54="شهري",المدخلات!$J$54,""))),"")</f>
        <v/>
      </c>
      <c r="K238" s="6" t="str">
        <f>IF(B238&lt;&gt;"",IF(AND(المدخلات!$H$55="سنوي",MOD(B238,12)=0),المدخلات!$J$55,IF(AND(المدخلات!$H$55="القسط (الدفعة) الاول",B238=1),المدخلات!$J$55,IF(المدخلات!$H$55="شهري",المدخلات!$J$55,""))),"")</f>
        <v/>
      </c>
      <c r="L238" s="6">
        <f>IF(B238&lt;&gt;"",IF(AND(المدخلات!$H$56="سنوي",MOD(B238,12)=0),المدخلات!$J$56,IF(AND(المدخلات!$H$56="القسط (الدفعة) الاول",B238=1),المدخلات!$J$56,IF(المدخلات!$H$56="شهري",المدخلات!$J$56,""))),"")</f>
        <v>208.33333333333334</v>
      </c>
      <c r="M238" s="6" t="str">
        <f>IF(B238&lt;&gt;"",IF(AND(المدخلات!$H$57="سنوي",MOD(B238,12)=0),المدخلات!$J$57,IF(AND(المدخلات!$H$57="القسط (الدفعة) الاول",B238=1),المدخلات!$J$57,IF(المدخلات!$H$57="شهري",المدخلات!$J$57,""))),"")</f>
        <v/>
      </c>
      <c r="N238" s="6" t="str">
        <f>IF(B238&lt;&gt;"",IF(AND(المدخلات!$H$58="سنوي",MOD(B238,12)=0),المدخلات!$J$58,IF(AND(المدخلات!$H$58="القسط (الدفعة) الاول",B238=1),المدخلات!$J$58,IF(المدخلات!$H$58="شهري",المدخلات!$J$58,IF(AND(المدخلات!$H$58="End of the loan",B238=المدخلات!$E$58),المدخلات!$J$58,"")))),"")</f>
        <v/>
      </c>
      <c r="O238" s="6">
        <f t="shared" si="30"/>
        <v>208.33333333333334</v>
      </c>
      <c r="P238" s="4">
        <f t="shared" si="31"/>
        <v>10525.868335503435</v>
      </c>
      <c r="T238" s="9">
        <f t="shared" si="32"/>
        <v>52016</v>
      </c>
      <c r="U238" s="5">
        <f t="shared" si="33"/>
        <v>10525.87</v>
      </c>
    </row>
    <row r="239" spans="2:21" x14ac:dyDescent="0.2">
      <c r="B239" s="16">
        <f t="shared" si="36"/>
        <v>222</v>
      </c>
      <c r="C239" s="9">
        <f t="shared" si="37"/>
        <v>52047</v>
      </c>
      <c r="D239" s="6">
        <f>IFERROR((PPMT(المدخلات!$E$55/12,B239,$C$6,المدخلات!$E$54,-المدخلات!$E$65,0))," ")</f>
        <v>-8198.364894055796</v>
      </c>
      <c r="E239" s="6">
        <f>IFERROR(((IPMT(المدخلات!$E$55/12,B239,$C$6,المدخلات!$E$54,-المدخلات!$E$65,0)))," ")</f>
        <v>-2119.1701081143051</v>
      </c>
      <c r="F239" s="6">
        <f t="shared" si="39"/>
        <v>-1145833.9776691159</v>
      </c>
      <c r="G239" s="6">
        <f t="shared" si="38"/>
        <v>-1144658.7928126457</v>
      </c>
      <c r="H239" s="6">
        <f t="shared" si="34"/>
        <v>-10317.535002170102</v>
      </c>
      <c r="I239" s="6">
        <f t="shared" si="35"/>
        <v>454166.02233088412</v>
      </c>
      <c r="J239" s="6" t="str">
        <f>IF(B239&lt;&gt;"",IF(AND(المدخلات!$H$54="سنوي",MOD(B239,12)=0),المدخلات!$J$54,IF(AND(المدخلات!$H$54="القسط (الدفعة) الاول",B239=1),المدخلات!$J$54,IF(المدخلات!$H$54="شهري",المدخلات!$J$54,""))),"")</f>
        <v/>
      </c>
      <c r="K239" s="6" t="str">
        <f>IF(B239&lt;&gt;"",IF(AND(المدخلات!$H$55="سنوي",MOD(B239,12)=0),المدخلات!$J$55,IF(AND(المدخلات!$H$55="القسط (الدفعة) الاول",B239=1),المدخلات!$J$55,IF(المدخلات!$H$55="شهري",المدخلات!$J$55,""))),"")</f>
        <v/>
      </c>
      <c r="L239" s="6">
        <f>IF(B239&lt;&gt;"",IF(AND(المدخلات!$H$56="سنوي",MOD(B239,12)=0),المدخلات!$J$56,IF(AND(المدخلات!$H$56="القسط (الدفعة) الاول",B239=1),المدخلات!$J$56,IF(المدخلات!$H$56="شهري",المدخلات!$J$56,""))),"")</f>
        <v>208.33333333333334</v>
      </c>
      <c r="M239" s="6" t="str">
        <f>IF(B239&lt;&gt;"",IF(AND(المدخلات!$H$57="سنوي",MOD(B239,12)=0),المدخلات!$J$57,IF(AND(المدخلات!$H$57="القسط (الدفعة) الاول",B239=1),المدخلات!$J$57,IF(المدخلات!$H$57="شهري",المدخلات!$J$57,""))),"")</f>
        <v/>
      </c>
      <c r="N239" s="6" t="str">
        <f>IF(B239&lt;&gt;"",IF(AND(المدخلات!$H$58="سنوي",MOD(B239,12)=0),المدخلات!$J$58,IF(AND(المدخلات!$H$58="القسط (الدفعة) الاول",B239=1),المدخلات!$J$58,IF(المدخلات!$H$58="شهري",المدخلات!$J$58,IF(AND(المدخلات!$H$58="End of the loan",B239=المدخلات!$E$58),المدخلات!$J$58,"")))),"")</f>
        <v/>
      </c>
      <c r="O239" s="6">
        <f t="shared" si="30"/>
        <v>208.33333333333334</v>
      </c>
      <c r="P239" s="4">
        <f t="shared" si="31"/>
        <v>10525.868335503435</v>
      </c>
      <c r="T239" s="9">
        <f t="shared" si="32"/>
        <v>52047</v>
      </c>
      <c r="U239" s="5">
        <f t="shared" si="33"/>
        <v>10525.87</v>
      </c>
    </row>
    <row r="240" spans="2:21" x14ac:dyDescent="0.2">
      <c r="B240" s="16">
        <f t="shared" si="36"/>
        <v>223</v>
      </c>
      <c r="C240" s="9">
        <f t="shared" si="37"/>
        <v>52077</v>
      </c>
      <c r="D240" s="6">
        <f>IFERROR((PPMT(المدخلات!$E$55/12,B240,$C$6,المدخلات!$E$54,-المدخلات!$E$65,0))," ")</f>
        <v>-8235.9407331535513</v>
      </c>
      <c r="E240" s="6">
        <f>IFERROR(((IPMT(المدخلات!$E$55/12,B240,$C$6,المدخلات!$E$54,-المدخلات!$E$65,0)))," ")</f>
        <v>-2081.5942690165498</v>
      </c>
      <c r="F240" s="6">
        <f t="shared" si="39"/>
        <v>-1154069.9184022695</v>
      </c>
      <c r="G240" s="6">
        <f t="shared" si="38"/>
        <v>-1146740.3870816622</v>
      </c>
      <c r="H240" s="6">
        <f t="shared" si="34"/>
        <v>-10317.535002170102</v>
      </c>
      <c r="I240" s="6">
        <f t="shared" si="35"/>
        <v>445930.08159773052</v>
      </c>
      <c r="J240" s="6" t="str">
        <f>IF(B240&lt;&gt;"",IF(AND(المدخلات!$H$54="سنوي",MOD(B240,12)=0),المدخلات!$J$54,IF(AND(المدخلات!$H$54="القسط (الدفعة) الاول",B240=1),المدخلات!$J$54,IF(المدخلات!$H$54="شهري",المدخلات!$J$54,""))),"")</f>
        <v/>
      </c>
      <c r="K240" s="6" t="str">
        <f>IF(B240&lt;&gt;"",IF(AND(المدخلات!$H$55="سنوي",MOD(B240,12)=0),المدخلات!$J$55,IF(AND(المدخلات!$H$55="القسط (الدفعة) الاول",B240=1),المدخلات!$J$55,IF(المدخلات!$H$55="شهري",المدخلات!$J$55,""))),"")</f>
        <v/>
      </c>
      <c r="L240" s="6">
        <f>IF(B240&lt;&gt;"",IF(AND(المدخلات!$H$56="سنوي",MOD(B240,12)=0),المدخلات!$J$56,IF(AND(المدخلات!$H$56="القسط (الدفعة) الاول",B240=1),المدخلات!$J$56,IF(المدخلات!$H$56="شهري",المدخلات!$J$56,""))),"")</f>
        <v>208.33333333333334</v>
      </c>
      <c r="M240" s="6" t="str">
        <f>IF(B240&lt;&gt;"",IF(AND(المدخلات!$H$57="سنوي",MOD(B240,12)=0),المدخلات!$J$57,IF(AND(المدخلات!$H$57="القسط (الدفعة) الاول",B240=1),المدخلات!$J$57,IF(المدخلات!$H$57="شهري",المدخلات!$J$57,""))),"")</f>
        <v/>
      </c>
      <c r="N240" s="6" t="str">
        <f>IF(B240&lt;&gt;"",IF(AND(المدخلات!$H$58="سنوي",MOD(B240,12)=0),المدخلات!$J$58,IF(AND(المدخلات!$H$58="القسط (الدفعة) الاول",B240=1),المدخلات!$J$58,IF(المدخلات!$H$58="شهري",المدخلات!$J$58,IF(AND(المدخلات!$H$58="End of the loan",B240=المدخلات!$E$58),المدخلات!$J$58,"")))),"")</f>
        <v/>
      </c>
      <c r="O240" s="6">
        <f t="shared" si="30"/>
        <v>208.33333333333334</v>
      </c>
      <c r="P240" s="4">
        <f t="shared" si="31"/>
        <v>10525.868335503435</v>
      </c>
      <c r="T240" s="9">
        <f t="shared" si="32"/>
        <v>52077</v>
      </c>
      <c r="U240" s="5">
        <f t="shared" si="33"/>
        <v>10525.87</v>
      </c>
    </row>
    <row r="241" spans="2:21" x14ac:dyDescent="0.2">
      <c r="B241" s="16">
        <f t="shared" si="36"/>
        <v>224</v>
      </c>
      <c r="C241" s="9">
        <f t="shared" si="37"/>
        <v>52108</v>
      </c>
      <c r="D241" s="6">
        <f>IFERROR((PPMT(المدخلات!$E$55/12,B241,$C$6,المدخلات!$E$54,-المدخلات!$E$65,0))," ")</f>
        <v>-8273.6887948471722</v>
      </c>
      <c r="E241" s="6">
        <f>IFERROR(((IPMT(المدخلات!$E$55/12,B241,$C$6,المدخلات!$E$54,-المدخلات!$E$65,0)))," ")</f>
        <v>-2043.8462073229289</v>
      </c>
      <c r="F241" s="6">
        <f t="shared" si="39"/>
        <v>-1162343.6071971166</v>
      </c>
      <c r="G241" s="6">
        <f t="shared" si="38"/>
        <v>-1148784.2332889852</v>
      </c>
      <c r="H241" s="6">
        <f t="shared" si="34"/>
        <v>-10317.535002170102</v>
      </c>
      <c r="I241" s="6">
        <f t="shared" si="35"/>
        <v>437656.39280288341</v>
      </c>
      <c r="J241" s="6" t="str">
        <f>IF(B241&lt;&gt;"",IF(AND(المدخلات!$H$54="سنوي",MOD(B241,12)=0),المدخلات!$J$54,IF(AND(المدخلات!$H$54="القسط (الدفعة) الاول",B241=1),المدخلات!$J$54,IF(المدخلات!$H$54="شهري",المدخلات!$J$54,""))),"")</f>
        <v/>
      </c>
      <c r="K241" s="6" t="str">
        <f>IF(B241&lt;&gt;"",IF(AND(المدخلات!$H$55="سنوي",MOD(B241,12)=0),المدخلات!$J$55,IF(AND(المدخلات!$H$55="القسط (الدفعة) الاول",B241=1),المدخلات!$J$55,IF(المدخلات!$H$55="شهري",المدخلات!$J$55,""))),"")</f>
        <v/>
      </c>
      <c r="L241" s="6">
        <f>IF(B241&lt;&gt;"",IF(AND(المدخلات!$H$56="سنوي",MOD(B241,12)=0),المدخلات!$J$56,IF(AND(المدخلات!$H$56="القسط (الدفعة) الاول",B241=1),المدخلات!$J$56,IF(المدخلات!$H$56="شهري",المدخلات!$J$56,""))),"")</f>
        <v>208.33333333333334</v>
      </c>
      <c r="M241" s="6" t="str">
        <f>IF(B241&lt;&gt;"",IF(AND(المدخلات!$H$57="سنوي",MOD(B241,12)=0),المدخلات!$J$57,IF(AND(المدخلات!$H$57="القسط (الدفعة) الاول",B241=1),المدخلات!$J$57,IF(المدخلات!$H$57="شهري",المدخلات!$J$57,""))),"")</f>
        <v/>
      </c>
      <c r="N241" s="6" t="str">
        <f>IF(B241&lt;&gt;"",IF(AND(المدخلات!$H$58="سنوي",MOD(B241,12)=0),المدخلات!$J$58,IF(AND(المدخلات!$H$58="القسط (الدفعة) الاول",B241=1),المدخلات!$J$58,IF(المدخلات!$H$58="شهري",المدخلات!$J$58,IF(AND(المدخلات!$H$58="End of the loan",B241=المدخلات!$E$58),المدخلات!$J$58,"")))),"")</f>
        <v/>
      </c>
      <c r="O241" s="6">
        <f t="shared" si="30"/>
        <v>208.33333333333334</v>
      </c>
      <c r="P241" s="4">
        <f t="shared" si="31"/>
        <v>10525.868335503435</v>
      </c>
      <c r="T241" s="9">
        <f t="shared" si="32"/>
        <v>52108</v>
      </c>
      <c r="U241" s="5">
        <f t="shared" si="33"/>
        <v>10525.87</v>
      </c>
    </row>
    <row r="242" spans="2:21" x14ac:dyDescent="0.2">
      <c r="B242" s="16">
        <f t="shared" si="36"/>
        <v>225</v>
      </c>
      <c r="C242" s="9">
        <f t="shared" si="37"/>
        <v>52139</v>
      </c>
      <c r="D242" s="6">
        <f>IFERROR((PPMT(المدخلات!$E$55/12,B242,$C$6,المدخلات!$E$54,-المدخلات!$E$65,0))," ")</f>
        <v>-8311.6098684902227</v>
      </c>
      <c r="E242" s="6">
        <f>IFERROR(((IPMT(المدخلات!$E$55/12,B242,$C$6,المدخلات!$E$54,-المدخلات!$E$65,0)))," ")</f>
        <v>-2005.9251336798795</v>
      </c>
      <c r="F242" s="6">
        <f t="shared" si="39"/>
        <v>-1170655.2170656067</v>
      </c>
      <c r="G242" s="6">
        <f t="shared" si="38"/>
        <v>-1150790.1584226652</v>
      </c>
      <c r="H242" s="6">
        <f t="shared" si="34"/>
        <v>-10317.535002170102</v>
      </c>
      <c r="I242" s="6">
        <f t="shared" si="35"/>
        <v>429344.78293439327</v>
      </c>
      <c r="J242" s="6" t="str">
        <f>IF(B242&lt;&gt;"",IF(AND(المدخلات!$H$54="سنوي",MOD(B242,12)=0),المدخلات!$J$54,IF(AND(المدخلات!$H$54="القسط (الدفعة) الاول",B242=1),المدخلات!$J$54,IF(المدخلات!$H$54="شهري",المدخلات!$J$54,""))),"")</f>
        <v/>
      </c>
      <c r="K242" s="6" t="str">
        <f>IF(B242&lt;&gt;"",IF(AND(المدخلات!$H$55="سنوي",MOD(B242,12)=0),المدخلات!$J$55,IF(AND(المدخلات!$H$55="القسط (الدفعة) الاول",B242=1),المدخلات!$J$55,IF(المدخلات!$H$55="شهري",المدخلات!$J$55,""))),"")</f>
        <v/>
      </c>
      <c r="L242" s="6">
        <f>IF(B242&lt;&gt;"",IF(AND(المدخلات!$H$56="سنوي",MOD(B242,12)=0),المدخلات!$J$56,IF(AND(المدخلات!$H$56="القسط (الدفعة) الاول",B242=1),المدخلات!$J$56,IF(المدخلات!$H$56="شهري",المدخلات!$J$56,""))),"")</f>
        <v>208.33333333333334</v>
      </c>
      <c r="M242" s="6" t="str">
        <f>IF(B242&lt;&gt;"",IF(AND(المدخلات!$H$57="سنوي",MOD(B242,12)=0),المدخلات!$J$57,IF(AND(المدخلات!$H$57="القسط (الدفعة) الاول",B242=1),المدخلات!$J$57,IF(المدخلات!$H$57="شهري",المدخلات!$J$57,""))),"")</f>
        <v/>
      </c>
      <c r="N242" s="6" t="str">
        <f>IF(B242&lt;&gt;"",IF(AND(المدخلات!$H$58="سنوي",MOD(B242,12)=0),المدخلات!$J$58,IF(AND(المدخلات!$H$58="القسط (الدفعة) الاول",B242=1),المدخلات!$J$58,IF(المدخلات!$H$58="شهري",المدخلات!$J$58,IF(AND(المدخلات!$H$58="End of the loan",B242=المدخلات!$E$58),المدخلات!$J$58,"")))),"")</f>
        <v/>
      </c>
      <c r="O242" s="6">
        <f t="shared" si="30"/>
        <v>208.33333333333334</v>
      </c>
      <c r="P242" s="4">
        <f t="shared" si="31"/>
        <v>10525.868335503435</v>
      </c>
      <c r="T242" s="9">
        <f t="shared" si="32"/>
        <v>52139</v>
      </c>
      <c r="U242" s="5">
        <f t="shared" si="33"/>
        <v>10525.87</v>
      </c>
    </row>
    <row r="243" spans="2:21" x14ac:dyDescent="0.2">
      <c r="B243" s="16">
        <f t="shared" si="36"/>
        <v>226</v>
      </c>
      <c r="C243" s="9">
        <f t="shared" si="37"/>
        <v>52169</v>
      </c>
      <c r="D243" s="6">
        <f>IFERROR((PPMT(المدخلات!$E$55/12,B243,$C$6,المدخلات!$E$54,-المدخلات!$E$65,0))," ")</f>
        <v>-8349.7047470541347</v>
      </c>
      <c r="E243" s="6">
        <f>IFERROR(((IPMT(المدخلات!$E$55/12,B243,$C$6,المدخلات!$E$54,-المدخلات!$E$65,0)))," ")</f>
        <v>-1967.8302551159659</v>
      </c>
      <c r="F243" s="6">
        <f t="shared" si="39"/>
        <v>-1179004.9218126608</v>
      </c>
      <c r="G243" s="6">
        <f t="shared" si="38"/>
        <v>-1152757.9886777811</v>
      </c>
      <c r="H243" s="6">
        <f t="shared" si="34"/>
        <v>-10317.535002170102</v>
      </c>
      <c r="I243" s="6">
        <f t="shared" si="35"/>
        <v>420995.07818733924</v>
      </c>
      <c r="J243" s="6" t="str">
        <f>IF(B243&lt;&gt;"",IF(AND(المدخلات!$H$54="سنوي",MOD(B243,12)=0),المدخلات!$J$54,IF(AND(المدخلات!$H$54="القسط (الدفعة) الاول",B243=1),المدخلات!$J$54,IF(المدخلات!$H$54="شهري",المدخلات!$J$54,""))),"")</f>
        <v/>
      </c>
      <c r="K243" s="6" t="str">
        <f>IF(B243&lt;&gt;"",IF(AND(المدخلات!$H$55="سنوي",MOD(B243,12)=0),المدخلات!$J$55,IF(AND(المدخلات!$H$55="القسط (الدفعة) الاول",B243=1),المدخلات!$J$55,IF(المدخلات!$H$55="شهري",المدخلات!$J$55,""))),"")</f>
        <v/>
      </c>
      <c r="L243" s="6">
        <f>IF(B243&lt;&gt;"",IF(AND(المدخلات!$H$56="سنوي",MOD(B243,12)=0),المدخلات!$J$56,IF(AND(المدخلات!$H$56="القسط (الدفعة) الاول",B243=1),المدخلات!$J$56,IF(المدخلات!$H$56="شهري",المدخلات!$J$56,""))),"")</f>
        <v>208.33333333333334</v>
      </c>
      <c r="M243" s="6" t="str">
        <f>IF(B243&lt;&gt;"",IF(AND(المدخلات!$H$57="سنوي",MOD(B243,12)=0),المدخلات!$J$57,IF(AND(المدخلات!$H$57="القسط (الدفعة) الاول",B243=1),المدخلات!$J$57,IF(المدخلات!$H$57="شهري",المدخلات!$J$57,""))),"")</f>
        <v/>
      </c>
      <c r="N243" s="6" t="str">
        <f>IF(B243&lt;&gt;"",IF(AND(المدخلات!$H$58="سنوي",MOD(B243,12)=0),المدخلات!$J$58,IF(AND(المدخلات!$H$58="القسط (الدفعة) الاول",B243=1),المدخلات!$J$58,IF(المدخلات!$H$58="شهري",المدخلات!$J$58,IF(AND(المدخلات!$H$58="End of the loan",B243=المدخلات!$E$58),المدخلات!$J$58,"")))),"")</f>
        <v/>
      </c>
      <c r="O243" s="6">
        <f t="shared" si="30"/>
        <v>208.33333333333334</v>
      </c>
      <c r="P243" s="4">
        <f t="shared" si="31"/>
        <v>10525.868335503435</v>
      </c>
      <c r="T243" s="9">
        <f t="shared" si="32"/>
        <v>52169</v>
      </c>
      <c r="U243" s="5">
        <f t="shared" si="33"/>
        <v>10525.87</v>
      </c>
    </row>
    <row r="244" spans="2:21" x14ac:dyDescent="0.2">
      <c r="B244" s="16">
        <f t="shared" si="36"/>
        <v>227</v>
      </c>
      <c r="C244" s="9">
        <f t="shared" si="37"/>
        <v>52200</v>
      </c>
      <c r="D244" s="6">
        <f>IFERROR((PPMT(المدخلات!$E$55/12,B244,$C$6,المدخلات!$E$54,-المدخلات!$E$65,0))," ")</f>
        <v>-8387.9742271447994</v>
      </c>
      <c r="E244" s="6">
        <f>IFERROR(((IPMT(المدخلات!$E$55/12,B244,$C$6,المدخلات!$E$54,-المدخلات!$E$65,0)))," ")</f>
        <v>-1929.5607750253012</v>
      </c>
      <c r="F244" s="6">
        <f t="shared" si="39"/>
        <v>-1187392.8960398056</v>
      </c>
      <c r="G244" s="6">
        <f t="shared" si="38"/>
        <v>-1154687.5494528064</v>
      </c>
      <c r="H244" s="6">
        <f t="shared" si="34"/>
        <v>-10317.535002170102</v>
      </c>
      <c r="I244" s="6">
        <f t="shared" si="35"/>
        <v>412607.10396019439</v>
      </c>
      <c r="J244" s="6" t="str">
        <f>IF(B244&lt;&gt;"",IF(AND(المدخلات!$H$54="سنوي",MOD(B244,12)=0),المدخلات!$J$54,IF(AND(المدخلات!$H$54="القسط (الدفعة) الاول",B244=1),المدخلات!$J$54,IF(المدخلات!$H$54="شهري",المدخلات!$J$54,""))),"")</f>
        <v/>
      </c>
      <c r="K244" s="6" t="str">
        <f>IF(B244&lt;&gt;"",IF(AND(المدخلات!$H$55="سنوي",MOD(B244,12)=0),المدخلات!$J$55,IF(AND(المدخلات!$H$55="القسط (الدفعة) الاول",B244=1),المدخلات!$J$55,IF(المدخلات!$H$55="شهري",المدخلات!$J$55,""))),"")</f>
        <v/>
      </c>
      <c r="L244" s="6">
        <f>IF(B244&lt;&gt;"",IF(AND(المدخلات!$H$56="سنوي",MOD(B244,12)=0),المدخلات!$J$56,IF(AND(المدخلات!$H$56="القسط (الدفعة) الاول",B244=1),المدخلات!$J$56,IF(المدخلات!$H$56="شهري",المدخلات!$J$56,""))),"")</f>
        <v>208.33333333333334</v>
      </c>
      <c r="M244" s="6" t="str">
        <f>IF(B244&lt;&gt;"",IF(AND(المدخلات!$H$57="سنوي",MOD(B244,12)=0),المدخلات!$J$57,IF(AND(المدخلات!$H$57="القسط (الدفعة) الاول",B244=1),المدخلات!$J$57,IF(المدخلات!$H$57="شهري",المدخلات!$J$57,""))),"")</f>
        <v/>
      </c>
      <c r="N244" s="6" t="str">
        <f>IF(B244&lt;&gt;"",IF(AND(المدخلات!$H$58="سنوي",MOD(B244,12)=0),المدخلات!$J$58,IF(AND(المدخلات!$H$58="القسط (الدفعة) الاول",B244=1),المدخلات!$J$58,IF(المدخلات!$H$58="شهري",المدخلات!$J$58,IF(AND(المدخلات!$H$58="End of the loan",B244=المدخلات!$E$58),المدخلات!$J$58,"")))),"")</f>
        <v/>
      </c>
      <c r="O244" s="6">
        <f t="shared" si="30"/>
        <v>208.33333333333334</v>
      </c>
      <c r="P244" s="4">
        <f t="shared" si="31"/>
        <v>10525.868335503435</v>
      </c>
      <c r="T244" s="9">
        <f t="shared" si="32"/>
        <v>52200</v>
      </c>
      <c r="U244" s="5">
        <f t="shared" si="33"/>
        <v>10525.87</v>
      </c>
    </row>
    <row r="245" spans="2:21" x14ac:dyDescent="0.2">
      <c r="B245" s="16">
        <f t="shared" si="36"/>
        <v>228</v>
      </c>
      <c r="C245" s="9">
        <f t="shared" si="37"/>
        <v>52230</v>
      </c>
      <c r="D245" s="6">
        <f>IFERROR((PPMT(المدخلات!$E$55/12,B245,$C$6,المدخلات!$E$54,-المدخلات!$E$65,0))," ")</f>
        <v>-8426.4191090192144</v>
      </c>
      <c r="E245" s="6">
        <f>IFERROR(((IPMT(المدخلات!$E$55/12,B245,$C$6,المدخلات!$E$54,-المدخلات!$E$65,0)))," ")</f>
        <v>-1891.1158931508876</v>
      </c>
      <c r="F245" s="6">
        <f t="shared" si="39"/>
        <v>-1195819.3151488248</v>
      </c>
      <c r="G245" s="6">
        <f t="shared" si="38"/>
        <v>-1156578.6653459573</v>
      </c>
      <c r="H245" s="6">
        <f t="shared" si="34"/>
        <v>-10317.535002170102</v>
      </c>
      <c r="I245" s="6">
        <f t="shared" si="35"/>
        <v>404180.68485117517</v>
      </c>
      <c r="J245" s="6" t="str">
        <f>IF(B245&lt;&gt;"",IF(AND(المدخلات!$H$54="سنوي",MOD(B245,12)=0),المدخلات!$J$54,IF(AND(المدخلات!$H$54="القسط (الدفعة) الاول",B245=1),المدخلات!$J$54,IF(المدخلات!$H$54="شهري",المدخلات!$J$54,""))),"")</f>
        <v/>
      </c>
      <c r="K245" s="6" t="str">
        <f>IF(B245&lt;&gt;"",IF(AND(المدخلات!$H$55="سنوي",MOD(B245,12)=0),المدخلات!$J$55,IF(AND(المدخلات!$H$55="القسط (الدفعة) الاول",B245=1),المدخلات!$J$55,IF(المدخلات!$H$55="شهري",المدخلات!$J$55,""))),"")</f>
        <v/>
      </c>
      <c r="L245" s="6">
        <f>IF(B245&lt;&gt;"",IF(AND(المدخلات!$H$56="سنوي",MOD(B245,12)=0),المدخلات!$J$56,IF(AND(المدخلات!$H$56="القسط (الدفعة) الاول",B245=1),المدخلات!$J$56,IF(المدخلات!$H$56="شهري",المدخلات!$J$56,""))),"")</f>
        <v>208.33333333333334</v>
      </c>
      <c r="M245" s="6" t="str">
        <f>IF(B245&lt;&gt;"",IF(AND(المدخلات!$H$57="سنوي",MOD(B245,12)=0),المدخلات!$J$57,IF(AND(المدخلات!$H$57="القسط (الدفعة) الاول",B245=1),المدخلات!$J$57,IF(المدخلات!$H$57="شهري",المدخلات!$J$57,""))),"")</f>
        <v/>
      </c>
      <c r="N245" s="6">
        <f>IF(B245&lt;&gt;"",IF(AND(المدخلات!$H$58="سنوي",MOD(B245,12)=0),المدخلات!$J$58,IF(AND(المدخلات!$H$58="القسط (الدفعة) الاول",B245=1),المدخلات!$J$58,IF(المدخلات!$H$58="شهري",المدخلات!$J$58,IF(AND(المدخلات!$H$58="End of the loan",B245=المدخلات!$E$58),المدخلات!$J$58,"")))),"")</f>
        <v>0</v>
      </c>
      <c r="O245" s="6">
        <f t="shared" si="30"/>
        <v>208.33333333333334</v>
      </c>
      <c r="P245" s="4">
        <f t="shared" si="31"/>
        <v>10525.868335503435</v>
      </c>
      <c r="T245" s="9">
        <f t="shared" si="32"/>
        <v>52230</v>
      </c>
      <c r="U245" s="5">
        <f t="shared" si="33"/>
        <v>10525.87</v>
      </c>
    </row>
    <row r="246" spans="2:21" x14ac:dyDescent="0.2">
      <c r="B246" s="16">
        <f t="shared" si="36"/>
        <v>229</v>
      </c>
      <c r="C246" s="9">
        <f t="shared" si="37"/>
        <v>52261</v>
      </c>
      <c r="D246" s="6">
        <f>IFERROR((PPMT(المدخلات!$E$55/12,B246,$C$6,المدخلات!$E$54,-المدخلات!$E$65,0))," ")</f>
        <v>-8465.04019660222</v>
      </c>
      <c r="E246" s="6">
        <f>IFERROR(((IPMT(المدخلات!$E$55/12,B246,$C$6,المدخلات!$E$54,-المدخلات!$E$65,0)))," ")</f>
        <v>-1852.4948055678828</v>
      </c>
      <c r="F246" s="6">
        <f t="shared" si="39"/>
        <v>-1204284.3553454271</v>
      </c>
      <c r="G246" s="6">
        <f t="shared" si="38"/>
        <v>-1158431.1601515252</v>
      </c>
      <c r="H246" s="6">
        <f t="shared" si="34"/>
        <v>-10317.535002170103</v>
      </c>
      <c r="I246" s="6">
        <f t="shared" si="35"/>
        <v>395715.64465457294</v>
      </c>
      <c r="J246" s="6" t="str">
        <f>IF(B246&lt;&gt;"",IF(AND(المدخلات!$H$54="سنوي",MOD(B246,12)=0),المدخلات!$J$54,IF(AND(المدخلات!$H$54="القسط (الدفعة) الاول",B246=1),المدخلات!$J$54,IF(المدخلات!$H$54="شهري",المدخلات!$J$54,""))),"")</f>
        <v/>
      </c>
      <c r="K246" s="6" t="str">
        <f>IF(B246&lt;&gt;"",IF(AND(المدخلات!$H$55="سنوي",MOD(B246,12)=0),المدخلات!$J$55,IF(AND(المدخلات!$H$55="القسط (الدفعة) الاول",B246=1),المدخلات!$J$55,IF(المدخلات!$H$55="شهري",المدخلات!$J$55,""))),"")</f>
        <v/>
      </c>
      <c r="L246" s="6">
        <f>IF(B246&lt;&gt;"",IF(AND(المدخلات!$H$56="سنوي",MOD(B246,12)=0),المدخلات!$J$56,IF(AND(المدخلات!$H$56="القسط (الدفعة) الاول",B246=1),المدخلات!$J$56,IF(المدخلات!$H$56="شهري",المدخلات!$J$56,""))),"")</f>
        <v>208.33333333333334</v>
      </c>
      <c r="M246" s="6" t="str">
        <f>IF(B246&lt;&gt;"",IF(AND(المدخلات!$H$57="سنوي",MOD(B246,12)=0),المدخلات!$J$57,IF(AND(المدخلات!$H$57="القسط (الدفعة) الاول",B246=1),المدخلات!$J$57,IF(المدخلات!$H$57="شهري",المدخلات!$J$57,""))),"")</f>
        <v/>
      </c>
      <c r="N246" s="6" t="str">
        <f>IF(B246&lt;&gt;"",IF(AND(المدخلات!$H$58="سنوي",MOD(B246,12)=0),المدخلات!$J$58,IF(AND(المدخلات!$H$58="القسط (الدفعة) الاول",B246=1),المدخلات!$J$58,IF(المدخلات!$H$58="شهري",المدخلات!$J$58,IF(AND(المدخلات!$H$58="End of the loan",B246=المدخلات!$E$58),المدخلات!$J$58,"")))),"")</f>
        <v/>
      </c>
      <c r="O246" s="6">
        <f t="shared" si="30"/>
        <v>208.33333333333334</v>
      </c>
      <c r="P246" s="4">
        <f t="shared" si="31"/>
        <v>10525.868335503437</v>
      </c>
      <c r="T246" s="9">
        <f t="shared" si="32"/>
        <v>52261</v>
      </c>
      <c r="U246" s="5">
        <f t="shared" si="33"/>
        <v>10525.87</v>
      </c>
    </row>
    <row r="247" spans="2:21" x14ac:dyDescent="0.2">
      <c r="B247" s="16">
        <f t="shared" si="36"/>
        <v>230</v>
      </c>
      <c r="C247" s="9">
        <f t="shared" si="37"/>
        <v>52290</v>
      </c>
      <c r="D247" s="6">
        <f>IFERROR((PPMT(المدخلات!$E$55/12,B247,$C$6,المدخلات!$E$54,-المدخلات!$E$65,0))," ")</f>
        <v>-8503.8382975033128</v>
      </c>
      <c r="E247" s="6">
        <f>IFERROR(((IPMT(المدخلات!$E$55/12,B247,$C$6,المدخلات!$E$54,-المدخلات!$E$65,0)))," ")</f>
        <v>-1813.6967046667892</v>
      </c>
      <c r="F247" s="6">
        <f t="shared" si="39"/>
        <v>-1212788.1936429304</v>
      </c>
      <c r="G247" s="6">
        <f t="shared" si="38"/>
        <v>-1160244.856856192</v>
      </c>
      <c r="H247" s="6">
        <f t="shared" si="34"/>
        <v>-10317.535002170102</v>
      </c>
      <c r="I247" s="6">
        <f t="shared" si="35"/>
        <v>387211.80635706964</v>
      </c>
      <c r="J247" s="6" t="str">
        <f>IF(B247&lt;&gt;"",IF(AND(المدخلات!$H$54="سنوي",MOD(B247,12)=0),المدخلات!$J$54,IF(AND(المدخلات!$H$54="القسط (الدفعة) الاول",B247=1),المدخلات!$J$54,IF(المدخلات!$H$54="شهري",المدخلات!$J$54,""))),"")</f>
        <v/>
      </c>
      <c r="K247" s="6" t="str">
        <f>IF(B247&lt;&gt;"",IF(AND(المدخلات!$H$55="سنوي",MOD(B247,12)=0),المدخلات!$J$55,IF(AND(المدخلات!$H$55="القسط (الدفعة) الاول",B247=1),المدخلات!$J$55,IF(المدخلات!$H$55="شهري",المدخلات!$J$55,""))),"")</f>
        <v/>
      </c>
      <c r="L247" s="6">
        <f>IF(B247&lt;&gt;"",IF(AND(المدخلات!$H$56="سنوي",MOD(B247,12)=0),المدخلات!$J$56,IF(AND(المدخلات!$H$56="القسط (الدفعة) الاول",B247=1),المدخلات!$J$56,IF(المدخلات!$H$56="شهري",المدخلات!$J$56,""))),"")</f>
        <v>208.33333333333334</v>
      </c>
      <c r="M247" s="6" t="str">
        <f>IF(B247&lt;&gt;"",IF(AND(المدخلات!$H$57="سنوي",MOD(B247,12)=0),المدخلات!$J$57,IF(AND(المدخلات!$H$57="القسط (الدفعة) الاول",B247=1),المدخلات!$J$57,IF(المدخلات!$H$57="شهري",المدخلات!$J$57,""))),"")</f>
        <v/>
      </c>
      <c r="N247" s="6" t="str">
        <f>IF(B247&lt;&gt;"",IF(AND(المدخلات!$H$58="سنوي",MOD(B247,12)=0),المدخلات!$J$58,IF(AND(المدخلات!$H$58="القسط (الدفعة) الاول",B247=1),المدخلات!$J$58,IF(المدخلات!$H$58="شهري",المدخلات!$J$58,IF(AND(المدخلات!$H$58="End of the loan",B247=المدخلات!$E$58),المدخلات!$J$58,"")))),"")</f>
        <v/>
      </c>
      <c r="O247" s="6">
        <f t="shared" si="30"/>
        <v>208.33333333333334</v>
      </c>
      <c r="P247" s="4">
        <f t="shared" si="31"/>
        <v>10525.868335503435</v>
      </c>
      <c r="T247" s="9">
        <f t="shared" si="32"/>
        <v>52290</v>
      </c>
      <c r="U247" s="5">
        <f t="shared" si="33"/>
        <v>10525.87</v>
      </c>
    </row>
    <row r="248" spans="2:21" x14ac:dyDescent="0.2">
      <c r="B248" s="16">
        <f t="shared" si="36"/>
        <v>231</v>
      </c>
      <c r="C248" s="9">
        <f t="shared" si="37"/>
        <v>52320</v>
      </c>
      <c r="D248" s="6">
        <f>IFERROR((PPMT(المدخلات!$E$55/12,B248,$C$6,المدخلات!$E$54,-المدخلات!$E$65,0))," ")</f>
        <v>-8542.8142230335361</v>
      </c>
      <c r="E248" s="6">
        <f>IFERROR(((IPMT(المدخلات!$E$55/12,B248,$C$6,المدخلات!$E$54,-المدخلات!$E$65,0)))," ")</f>
        <v>-1774.7207791365656</v>
      </c>
      <c r="F248" s="6">
        <f t="shared" si="39"/>
        <v>-1221331.007865964</v>
      </c>
      <c r="G248" s="6">
        <f t="shared" si="38"/>
        <v>-1162019.5776353285</v>
      </c>
      <c r="H248" s="6">
        <f t="shared" si="34"/>
        <v>-10317.535002170102</v>
      </c>
      <c r="I248" s="6">
        <f t="shared" si="35"/>
        <v>378668.99213403603</v>
      </c>
      <c r="J248" s="6" t="str">
        <f>IF(B248&lt;&gt;"",IF(AND(المدخلات!$H$54="سنوي",MOD(B248,12)=0),المدخلات!$J$54,IF(AND(المدخلات!$H$54="القسط (الدفعة) الاول",B248=1),المدخلات!$J$54,IF(المدخلات!$H$54="شهري",المدخلات!$J$54,""))),"")</f>
        <v/>
      </c>
      <c r="K248" s="6" t="str">
        <f>IF(B248&lt;&gt;"",IF(AND(المدخلات!$H$55="سنوي",MOD(B248,12)=0),المدخلات!$J$55,IF(AND(المدخلات!$H$55="القسط (الدفعة) الاول",B248=1),المدخلات!$J$55,IF(المدخلات!$H$55="شهري",المدخلات!$J$55,""))),"")</f>
        <v/>
      </c>
      <c r="L248" s="6">
        <f>IF(B248&lt;&gt;"",IF(AND(المدخلات!$H$56="سنوي",MOD(B248,12)=0),المدخلات!$J$56,IF(AND(المدخلات!$H$56="القسط (الدفعة) الاول",B248=1),المدخلات!$J$56,IF(المدخلات!$H$56="شهري",المدخلات!$J$56,""))),"")</f>
        <v>208.33333333333334</v>
      </c>
      <c r="M248" s="6" t="str">
        <f>IF(B248&lt;&gt;"",IF(AND(المدخلات!$H$57="سنوي",MOD(B248,12)=0),المدخلات!$J$57,IF(AND(المدخلات!$H$57="القسط (الدفعة) الاول",B248=1),المدخلات!$J$57,IF(المدخلات!$H$57="شهري",المدخلات!$J$57,""))),"")</f>
        <v/>
      </c>
      <c r="N248" s="6" t="str">
        <f>IF(B248&lt;&gt;"",IF(AND(المدخلات!$H$58="سنوي",MOD(B248,12)=0),المدخلات!$J$58,IF(AND(المدخلات!$H$58="القسط (الدفعة) الاول",B248=1),المدخلات!$J$58,IF(المدخلات!$H$58="شهري",المدخلات!$J$58,IF(AND(المدخلات!$H$58="End of the loan",B248=المدخلات!$E$58),المدخلات!$J$58,"")))),"")</f>
        <v/>
      </c>
      <c r="O248" s="6">
        <f t="shared" si="30"/>
        <v>208.33333333333334</v>
      </c>
      <c r="P248" s="4">
        <f t="shared" si="31"/>
        <v>10525.868335503435</v>
      </c>
      <c r="T248" s="9">
        <f t="shared" si="32"/>
        <v>52320</v>
      </c>
      <c r="U248" s="5">
        <f t="shared" si="33"/>
        <v>10525.87</v>
      </c>
    </row>
    <row r="249" spans="2:21" x14ac:dyDescent="0.2">
      <c r="B249" s="16">
        <f t="shared" si="36"/>
        <v>232</v>
      </c>
      <c r="C249" s="9">
        <f t="shared" si="37"/>
        <v>52351</v>
      </c>
      <c r="D249" s="6">
        <f>IFERROR((PPMT(المدخلات!$E$55/12,B249,$C$6,المدخلات!$E$54,-المدخلات!$E$65,0))," ")</f>
        <v>-8581.9687882224389</v>
      </c>
      <c r="E249" s="6">
        <f>IFERROR(((IPMT(المدخلات!$E$55/12,B249,$C$6,المدخلات!$E$54,-المدخلات!$E$65,0)))," ")</f>
        <v>-1735.5662139476619</v>
      </c>
      <c r="F249" s="6">
        <f t="shared" si="39"/>
        <v>-1229912.9766541864</v>
      </c>
      <c r="G249" s="6">
        <f t="shared" si="38"/>
        <v>-1163755.1438492762</v>
      </c>
      <c r="H249" s="6">
        <f t="shared" si="34"/>
        <v>-10317.535002170102</v>
      </c>
      <c r="I249" s="6">
        <f t="shared" si="35"/>
        <v>370087.02334581362</v>
      </c>
      <c r="J249" s="6" t="str">
        <f>IF(B249&lt;&gt;"",IF(AND(المدخلات!$H$54="سنوي",MOD(B249,12)=0),المدخلات!$J$54,IF(AND(المدخلات!$H$54="القسط (الدفعة) الاول",B249=1),المدخلات!$J$54,IF(المدخلات!$H$54="شهري",المدخلات!$J$54,""))),"")</f>
        <v/>
      </c>
      <c r="K249" s="6" t="str">
        <f>IF(B249&lt;&gt;"",IF(AND(المدخلات!$H$55="سنوي",MOD(B249,12)=0),المدخلات!$J$55,IF(AND(المدخلات!$H$55="القسط (الدفعة) الاول",B249=1),المدخلات!$J$55,IF(المدخلات!$H$55="شهري",المدخلات!$J$55,""))),"")</f>
        <v/>
      </c>
      <c r="L249" s="6">
        <f>IF(B249&lt;&gt;"",IF(AND(المدخلات!$H$56="سنوي",MOD(B249,12)=0),المدخلات!$J$56,IF(AND(المدخلات!$H$56="القسط (الدفعة) الاول",B249=1),المدخلات!$J$56,IF(المدخلات!$H$56="شهري",المدخلات!$J$56,""))),"")</f>
        <v>208.33333333333334</v>
      </c>
      <c r="M249" s="6" t="str">
        <f>IF(B249&lt;&gt;"",IF(AND(المدخلات!$H$57="سنوي",MOD(B249,12)=0),المدخلات!$J$57,IF(AND(المدخلات!$H$57="القسط (الدفعة) الاول",B249=1),المدخلات!$J$57,IF(المدخلات!$H$57="شهري",المدخلات!$J$57,""))),"")</f>
        <v/>
      </c>
      <c r="N249" s="6" t="str">
        <f>IF(B249&lt;&gt;"",IF(AND(المدخلات!$H$58="سنوي",MOD(B249,12)=0),المدخلات!$J$58,IF(AND(المدخلات!$H$58="القسط (الدفعة) الاول",B249=1),المدخلات!$J$58,IF(المدخلات!$H$58="شهري",المدخلات!$J$58,IF(AND(المدخلات!$H$58="End of the loan",B249=المدخلات!$E$58),المدخلات!$J$58,"")))),"")</f>
        <v/>
      </c>
      <c r="O249" s="6">
        <f t="shared" si="30"/>
        <v>208.33333333333334</v>
      </c>
      <c r="P249" s="4">
        <f t="shared" si="31"/>
        <v>10525.868335503435</v>
      </c>
      <c r="T249" s="9">
        <f t="shared" si="32"/>
        <v>52351</v>
      </c>
      <c r="U249" s="5">
        <f t="shared" si="33"/>
        <v>10525.87</v>
      </c>
    </row>
    <row r="250" spans="2:21" x14ac:dyDescent="0.2">
      <c r="B250" s="16">
        <f t="shared" si="36"/>
        <v>233</v>
      </c>
      <c r="C250" s="9">
        <f t="shared" si="37"/>
        <v>52381</v>
      </c>
      <c r="D250" s="6">
        <f>IFERROR((PPMT(المدخلات!$E$55/12,B250,$C$6,المدخلات!$E$54,-المدخلات!$E$65,0))," ")</f>
        <v>-8621.3028118351249</v>
      </c>
      <c r="E250" s="6">
        <f>IFERROR(((IPMT(المدخلات!$E$55/12,B250,$C$6,المدخلات!$E$54,-المدخلات!$E$65,0)))," ")</f>
        <v>-1696.2321903349759</v>
      </c>
      <c r="F250" s="6">
        <f t="shared" si="39"/>
        <v>-1238534.2794660216</v>
      </c>
      <c r="G250" s="6">
        <f t="shared" si="38"/>
        <v>-1165451.3760396112</v>
      </c>
      <c r="H250" s="6">
        <f t="shared" si="34"/>
        <v>-10317.535002170102</v>
      </c>
      <c r="I250" s="6">
        <f t="shared" si="35"/>
        <v>361465.72053397843</v>
      </c>
      <c r="J250" s="6" t="str">
        <f>IF(B250&lt;&gt;"",IF(AND(المدخلات!$H$54="سنوي",MOD(B250,12)=0),المدخلات!$J$54,IF(AND(المدخلات!$H$54="القسط (الدفعة) الاول",B250=1),المدخلات!$J$54,IF(المدخلات!$H$54="شهري",المدخلات!$J$54,""))),"")</f>
        <v/>
      </c>
      <c r="K250" s="6" t="str">
        <f>IF(B250&lt;&gt;"",IF(AND(المدخلات!$H$55="سنوي",MOD(B250,12)=0),المدخلات!$J$55,IF(AND(المدخلات!$H$55="القسط (الدفعة) الاول",B250=1),المدخلات!$J$55,IF(المدخلات!$H$55="شهري",المدخلات!$J$55,""))),"")</f>
        <v/>
      </c>
      <c r="L250" s="6">
        <f>IF(B250&lt;&gt;"",IF(AND(المدخلات!$H$56="سنوي",MOD(B250,12)=0),المدخلات!$J$56,IF(AND(المدخلات!$H$56="القسط (الدفعة) الاول",B250=1),المدخلات!$J$56,IF(المدخلات!$H$56="شهري",المدخلات!$J$56,""))),"")</f>
        <v>208.33333333333334</v>
      </c>
      <c r="M250" s="6" t="str">
        <f>IF(B250&lt;&gt;"",IF(AND(المدخلات!$H$57="سنوي",MOD(B250,12)=0),المدخلات!$J$57,IF(AND(المدخلات!$H$57="القسط (الدفعة) الاول",B250=1),المدخلات!$J$57,IF(المدخلات!$H$57="شهري",المدخلات!$J$57,""))),"")</f>
        <v/>
      </c>
      <c r="N250" s="6" t="str">
        <f>IF(B250&lt;&gt;"",IF(AND(المدخلات!$H$58="سنوي",MOD(B250,12)=0),المدخلات!$J$58,IF(AND(المدخلات!$H$58="القسط (الدفعة) الاول",B250=1),المدخلات!$J$58,IF(المدخلات!$H$58="شهري",المدخلات!$J$58,IF(AND(المدخلات!$H$58="End of the loan",B250=المدخلات!$E$58),المدخلات!$J$58,"")))),"")</f>
        <v/>
      </c>
      <c r="O250" s="6">
        <f t="shared" si="30"/>
        <v>208.33333333333334</v>
      </c>
      <c r="P250" s="4">
        <f t="shared" si="31"/>
        <v>10525.868335503435</v>
      </c>
      <c r="T250" s="9">
        <f t="shared" si="32"/>
        <v>52381</v>
      </c>
      <c r="U250" s="5">
        <f t="shared" si="33"/>
        <v>10525.87</v>
      </c>
    </row>
    <row r="251" spans="2:21" x14ac:dyDescent="0.2">
      <c r="B251" s="16">
        <f t="shared" si="36"/>
        <v>234</v>
      </c>
      <c r="C251" s="9">
        <f t="shared" si="37"/>
        <v>52412</v>
      </c>
      <c r="D251" s="6">
        <f>IFERROR((PPMT(المدخلات!$E$55/12,B251,$C$6,المدخلات!$E$54,-المدخلات!$E$65,0))," ")</f>
        <v>-8660.8171163893694</v>
      </c>
      <c r="E251" s="6">
        <f>IFERROR(((IPMT(المدخلات!$E$55/12,B251,$C$6,المدخلات!$E$54,-المدخلات!$E$65,0)))," ")</f>
        <v>-1656.7178857807314</v>
      </c>
      <c r="F251" s="6">
        <f t="shared" si="39"/>
        <v>-1247195.0965824109</v>
      </c>
      <c r="G251" s="6">
        <f t="shared" si="38"/>
        <v>-1167108.093925392</v>
      </c>
      <c r="H251" s="6">
        <f t="shared" si="34"/>
        <v>-10317.535002170102</v>
      </c>
      <c r="I251" s="6">
        <f t="shared" si="35"/>
        <v>352804.90341758914</v>
      </c>
      <c r="J251" s="6" t="str">
        <f>IF(B251&lt;&gt;"",IF(AND(المدخلات!$H$54="سنوي",MOD(B251,12)=0),المدخلات!$J$54,IF(AND(المدخلات!$H$54="القسط (الدفعة) الاول",B251=1),المدخلات!$J$54,IF(المدخلات!$H$54="شهري",المدخلات!$J$54,""))),"")</f>
        <v/>
      </c>
      <c r="K251" s="6" t="str">
        <f>IF(B251&lt;&gt;"",IF(AND(المدخلات!$H$55="سنوي",MOD(B251,12)=0),المدخلات!$J$55,IF(AND(المدخلات!$H$55="القسط (الدفعة) الاول",B251=1),المدخلات!$J$55,IF(المدخلات!$H$55="شهري",المدخلات!$J$55,""))),"")</f>
        <v/>
      </c>
      <c r="L251" s="6">
        <f>IF(B251&lt;&gt;"",IF(AND(المدخلات!$H$56="سنوي",MOD(B251,12)=0),المدخلات!$J$56,IF(AND(المدخلات!$H$56="القسط (الدفعة) الاول",B251=1),المدخلات!$J$56,IF(المدخلات!$H$56="شهري",المدخلات!$J$56,""))),"")</f>
        <v>208.33333333333334</v>
      </c>
      <c r="M251" s="6" t="str">
        <f>IF(B251&lt;&gt;"",IF(AND(المدخلات!$H$57="سنوي",MOD(B251,12)=0),المدخلات!$J$57,IF(AND(المدخلات!$H$57="القسط (الدفعة) الاول",B251=1),المدخلات!$J$57,IF(المدخلات!$H$57="شهري",المدخلات!$J$57,""))),"")</f>
        <v/>
      </c>
      <c r="N251" s="6" t="str">
        <f>IF(B251&lt;&gt;"",IF(AND(المدخلات!$H$58="سنوي",MOD(B251,12)=0),المدخلات!$J$58,IF(AND(المدخلات!$H$58="القسط (الدفعة) الاول",B251=1),المدخلات!$J$58,IF(المدخلات!$H$58="شهري",المدخلات!$J$58,IF(AND(المدخلات!$H$58="End of the loan",B251=المدخلات!$E$58),المدخلات!$J$58,"")))),"")</f>
        <v/>
      </c>
      <c r="O251" s="6">
        <f t="shared" si="30"/>
        <v>208.33333333333334</v>
      </c>
      <c r="P251" s="4">
        <f t="shared" si="31"/>
        <v>10525.868335503435</v>
      </c>
      <c r="T251" s="9">
        <f t="shared" si="32"/>
        <v>52412</v>
      </c>
      <c r="U251" s="5">
        <f t="shared" si="33"/>
        <v>10525.87</v>
      </c>
    </row>
    <row r="252" spans="2:21" x14ac:dyDescent="0.2">
      <c r="B252" s="16">
        <f t="shared" si="36"/>
        <v>235</v>
      </c>
      <c r="C252" s="9">
        <f t="shared" si="37"/>
        <v>52442</v>
      </c>
      <c r="D252" s="6">
        <f>IFERROR((PPMT(المدخلات!$E$55/12,B252,$C$6,المدخلات!$E$54,-المدخلات!$E$65,0))," ")</f>
        <v>-8700.5125281728215</v>
      </c>
      <c r="E252" s="6">
        <f>IFERROR(((IPMT(المدخلات!$E$55/12,B252,$C$6,المدخلات!$E$54,-المدخلات!$E$65,0)))," ")</f>
        <v>-1617.02247399728</v>
      </c>
      <c r="F252" s="6">
        <f t="shared" si="39"/>
        <v>-1255895.6091105838</v>
      </c>
      <c r="G252" s="6">
        <f t="shared" si="38"/>
        <v>-1168725.1163993892</v>
      </c>
      <c r="H252" s="6">
        <f t="shared" si="34"/>
        <v>-10317.535002170102</v>
      </c>
      <c r="I252" s="6">
        <f t="shared" si="35"/>
        <v>344104.39088941622</v>
      </c>
      <c r="J252" s="6" t="str">
        <f>IF(B252&lt;&gt;"",IF(AND(المدخلات!$H$54="سنوي",MOD(B252,12)=0),المدخلات!$J$54,IF(AND(المدخلات!$H$54="القسط (الدفعة) الاول",B252=1),المدخلات!$J$54,IF(المدخلات!$H$54="شهري",المدخلات!$J$54,""))),"")</f>
        <v/>
      </c>
      <c r="K252" s="6" t="str">
        <f>IF(B252&lt;&gt;"",IF(AND(المدخلات!$H$55="سنوي",MOD(B252,12)=0),المدخلات!$J$55,IF(AND(المدخلات!$H$55="القسط (الدفعة) الاول",B252=1),المدخلات!$J$55,IF(المدخلات!$H$55="شهري",المدخلات!$J$55,""))),"")</f>
        <v/>
      </c>
      <c r="L252" s="6">
        <f>IF(B252&lt;&gt;"",IF(AND(المدخلات!$H$56="سنوي",MOD(B252,12)=0),المدخلات!$J$56,IF(AND(المدخلات!$H$56="القسط (الدفعة) الاول",B252=1),المدخلات!$J$56,IF(المدخلات!$H$56="شهري",المدخلات!$J$56,""))),"")</f>
        <v>208.33333333333334</v>
      </c>
      <c r="M252" s="6" t="str">
        <f>IF(B252&lt;&gt;"",IF(AND(المدخلات!$H$57="سنوي",MOD(B252,12)=0),المدخلات!$J$57,IF(AND(المدخلات!$H$57="القسط (الدفعة) الاول",B252=1),المدخلات!$J$57,IF(المدخلات!$H$57="شهري",المدخلات!$J$57,""))),"")</f>
        <v/>
      </c>
      <c r="N252" s="6" t="str">
        <f>IF(B252&lt;&gt;"",IF(AND(المدخلات!$H$58="سنوي",MOD(B252,12)=0),المدخلات!$J$58,IF(AND(المدخلات!$H$58="القسط (الدفعة) الاول",B252=1),المدخلات!$J$58,IF(المدخلات!$H$58="شهري",المدخلات!$J$58,IF(AND(المدخلات!$H$58="End of the loan",B252=المدخلات!$E$58),المدخلات!$J$58,"")))),"")</f>
        <v/>
      </c>
      <c r="O252" s="6">
        <f t="shared" si="30"/>
        <v>208.33333333333334</v>
      </c>
      <c r="P252" s="4">
        <f t="shared" si="31"/>
        <v>10525.868335503435</v>
      </c>
      <c r="T252" s="9">
        <f t="shared" si="32"/>
        <v>52442</v>
      </c>
      <c r="U252" s="5">
        <f t="shared" si="33"/>
        <v>10525.87</v>
      </c>
    </row>
    <row r="253" spans="2:21" x14ac:dyDescent="0.2">
      <c r="B253" s="16">
        <f t="shared" si="36"/>
        <v>236</v>
      </c>
      <c r="C253" s="9">
        <f t="shared" si="37"/>
        <v>52473</v>
      </c>
      <c r="D253" s="6">
        <f>IFERROR((PPMT(المدخلات!$E$55/12,B253,$C$6,المدخلات!$E$54,-المدخلات!$E$65,0))," ")</f>
        <v>-8740.3898772602806</v>
      </c>
      <c r="E253" s="6">
        <f>IFERROR(((IPMT(المدخلات!$E$55/12,B253,$C$6,المدخلات!$E$54,-المدخلات!$E$65,0)))," ")</f>
        <v>-1577.1451249098213</v>
      </c>
      <c r="F253" s="6">
        <f t="shared" si="39"/>
        <v>-1264635.998987844</v>
      </c>
      <c r="G253" s="6">
        <f t="shared" si="38"/>
        <v>-1170302.2615242992</v>
      </c>
      <c r="H253" s="6">
        <f t="shared" si="34"/>
        <v>-10317.535002170102</v>
      </c>
      <c r="I253" s="6">
        <f t="shared" si="35"/>
        <v>335364.00101215602</v>
      </c>
      <c r="J253" s="6" t="str">
        <f>IF(B253&lt;&gt;"",IF(AND(المدخلات!$H$54="سنوي",MOD(B253,12)=0),المدخلات!$J$54,IF(AND(المدخلات!$H$54="القسط (الدفعة) الاول",B253=1),المدخلات!$J$54,IF(المدخلات!$H$54="شهري",المدخلات!$J$54,""))),"")</f>
        <v/>
      </c>
      <c r="K253" s="6" t="str">
        <f>IF(B253&lt;&gt;"",IF(AND(المدخلات!$H$55="سنوي",MOD(B253,12)=0),المدخلات!$J$55,IF(AND(المدخلات!$H$55="القسط (الدفعة) الاول",B253=1),المدخلات!$J$55,IF(المدخلات!$H$55="شهري",المدخلات!$J$55,""))),"")</f>
        <v/>
      </c>
      <c r="L253" s="6">
        <f>IF(B253&lt;&gt;"",IF(AND(المدخلات!$H$56="سنوي",MOD(B253,12)=0),المدخلات!$J$56,IF(AND(المدخلات!$H$56="القسط (الدفعة) الاول",B253=1),المدخلات!$J$56,IF(المدخلات!$H$56="شهري",المدخلات!$J$56,""))),"")</f>
        <v>208.33333333333334</v>
      </c>
      <c r="M253" s="6" t="str">
        <f>IF(B253&lt;&gt;"",IF(AND(المدخلات!$H$57="سنوي",MOD(B253,12)=0),المدخلات!$J$57,IF(AND(المدخلات!$H$57="القسط (الدفعة) الاول",B253=1),المدخلات!$J$57,IF(المدخلات!$H$57="شهري",المدخلات!$J$57,""))),"")</f>
        <v/>
      </c>
      <c r="N253" s="6" t="str">
        <f>IF(B253&lt;&gt;"",IF(AND(المدخلات!$H$58="سنوي",MOD(B253,12)=0),المدخلات!$J$58,IF(AND(المدخلات!$H$58="القسط (الدفعة) الاول",B253=1),المدخلات!$J$58,IF(المدخلات!$H$58="شهري",المدخلات!$J$58,IF(AND(المدخلات!$H$58="End of the loan",B253=المدخلات!$E$58),المدخلات!$J$58,"")))),"")</f>
        <v/>
      </c>
      <c r="O253" s="6">
        <f t="shared" si="30"/>
        <v>208.33333333333334</v>
      </c>
      <c r="P253" s="4">
        <f t="shared" si="31"/>
        <v>10525.868335503435</v>
      </c>
      <c r="T253" s="9">
        <f t="shared" si="32"/>
        <v>52473</v>
      </c>
      <c r="U253" s="5">
        <f t="shared" si="33"/>
        <v>10525.87</v>
      </c>
    </row>
    <row r="254" spans="2:21" x14ac:dyDescent="0.2">
      <c r="B254" s="16">
        <f t="shared" si="36"/>
        <v>237</v>
      </c>
      <c r="C254" s="9">
        <f t="shared" si="37"/>
        <v>52504</v>
      </c>
      <c r="D254" s="6">
        <f>IFERROR((PPMT(المدخلات!$E$55/12,B254,$C$6,المدخلات!$E$54,-المدخلات!$E$65,0))," ")</f>
        <v>-8780.4499975310555</v>
      </c>
      <c r="E254" s="6">
        <f>IFERROR(((IPMT(المدخلات!$E$55/12,B254,$C$6,المدخلات!$E$54,-المدخلات!$E$65,0)))," ")</f>
        <v>-1537.0850046390453</v>
      </c>
      <c r="F254" s="6">
        <f t="shared" si="39"/>
        <v>-1273416.448985375</v>
      </c>
      <c r="G254" s="6">
        <f t="shared" si="38"/>
        <v>-1171839.3465289383</v>
      </c>
      <c r="H254" s="6">
        <f t="shared" si="34"/>
        <v>-10317.535002170102</v>
      </c>
      <c r="I254" s="6">
        <f t="shared" si="35"/>
        <v>326583.551014625</v>
      </c>
      <c r="J254" s="6" t="str">
        <f>IF(B254&lt;&gt;"",IF(AND(المدخلات!$H$54="سنوي",MOD(B254,12)=0),المدخلات!$J$54,IF(AND(المدخلات!$H$54="القسط (الدفعة) الاول",B254=1),المدخلات!$J$54,IF(المدخلات!$H$54="شهري",المدخلات!$J$54,""))),"")</f>
        <v/>
      </c>
      <c r="K254" s="6" t="str">
        <f>IF(B254&lt;&gt;"",IF(AND(المدخلات!$H$55="سنوي",MOD(B254,12)=0),المدخلات!$J$55,IF(AND(المدخلات!$H$55="القسط (الدفعة) الاول",B254=1),المدخلات!$J$55,IF(المدخلات!$H$55="شهري",المدخلات!$J$55,""))),"")</f>
        <v/>
      </c>
      <c r="L254" s="6">
        <f>IF(B254&lt;&gt;"",IF(AND(المدخلات!$H$56="سنوي",MOD(B254,12)=0),المدخلات!$J$56,IF(AND(المدخلات!$H$56="القسط (الدفعة) الاول",B254=1),المدخلات!$J$56,IF(المدخلات!$H$56="شهري",المدخلات!$J$56,""))),"")</f>
        <v>208.33333333333334</v>
      </c>
      <c r="M254" s="6" t="str">
        <f>IF(B254&lt;&gt;"",IF(AND(المدخلات!$H$57="سنوي",MOD(B254,12)=0),المدخلات!$J$57,IF(AND(المدخلات!$H$57="القسط (الدفعة) الاول",B254=1),المدخلات!$J$57,IF(المدخلات!$H$57="شهري",المدخلات!$J$57,""))),"")</f>
        <v/>
      </c>
      <c r="N254" s="6" t="str">
        <f>IF(B254&lt;&gt;"",IF(AND(المدخلات!$H$58="سنوي",MOD(B254,12)=0),المدخلات!$J$58,IF(AND(المدخلات!$H$58="القسط (الدفعة) الاول",B254=1),المدخلات!$J$58,IF(المدخلات!$H$58="شهري",المدخلات!$J$58,IF(AND(المدخلات!$H$58="End of the loan",B254=المدخلات!$E$58),المدخلات!$J$58,"")))),"")</f>
        <v/>
      </c>
      <c r="O254" s="6">
        <f t="shared" si="30"/>
        <v>208.33333333333334</v>
      </c>
      <c r="P254" s="4">
        <f t="shared" si="31"/>
        <v>10525.868335503435</v>
      </c>
      <c r="T254" s="9">
        <f t="shared" si="32"/>
        <v>52504</v>
      </c>
      <c r="U254" s="5">
        <f t="shared" si="33"/>
        <v>10525.87</v>
      </c>
    </row>
    <row r="255" spans="2:21" x14ac:dyDescent="0.2">
      <c r="B255" s="16">
        <f t="shared" si="36"/>
        <v>238</v>
      </c>
      <c r="C255" s="9">
        <f t="shared" si="37"/>
        <v>52534</v>
      </c>
      <c r="D255" s="6">
        <f>IFERROR((PPMT(المدخلات!$E$55/12,B255,$C$6,المدخلات!$E$54,-المدخلات!$E$65,0))," ")</f>
        <v>-8820.6937266864061</v>
      </c>
      <c r="E255" s="6">
        <f>IFERROR(((IPMT(المدخلات!$E$55/12,B255,$C$6,المدخلات!$E$54,-المدخلات!$E$65,0)))," ")</f>
        <v>-1496.8412754836945</v>
      </c>
      <c r="F255" s="6">
        <f t="shared" si="39"/>
        <v>-1282237.1427120613</v>
      </c>
      <c r="G255" s="6">
        <f t="shared" si="38"/>
        <v>-1173336.1878044219</v>
      </c>
      <c r="H255" s="6">
        <f t="shared" si="34"/>
        <v>-10317.535002170102</v>
      </c>
      <c r="I255" s="6">
        <f t="shared" si="35"/>
        <v>317762.85728793871</v>
      </c>
      <c r="J255" s="6" t="str">
        <f>IF(B255&lt;&gt;"",IF(AND(المدخلات!$H$54="سنوي",MOD(B255,12)=0),المدخلات!$J$54,IF(AND(المدخلات!$H$54="القسط (الدفعة) الاول",B255=1),المدخلات!$J$54,IF(المدخلات!$H$54="شهري",المدخلات!$J$54,""))),"")</f>
        <v/>
      </c>
      <c r="K255" s="6" t="str">
        <f>IF(B255&lt;&gt;"",IF(AND(المدخلات!$H$55="سنوي",MOD(B255,12)=0),المدخلات!$J$55,IF(AND(المدخلات!$H$55="القسط (الدفعة) الاول",B255=1),المدخلات!$J$55,IF(المدخلات!$H$55="شهري",المدخلات!$J$55,""))),"")</f>
        <v/>
      </c>
      <c r="L255" s="6">
        <f>IF(B255&lt;&gt;"",IF(AND(المدخلات!$H$56="سنوي",MOD(B255,12)=0),المدخلات!$J$56,IF(AND(المدخلات!$H$56="القسط (الدفعة) الاول",B255=1),المدخلات!$J$56,IF(المدخلات!$H$56="شهري",المدخلات!$J$56,""))),"")</f>
        <v>208.33333333333334</v>
      </c>
      <c r="M255" s="6" t="str">
        <f>IF(B255&lt;&gt;"",IF(AND(المدخلات!$H$57="سنوي",MOD(B255,12)=0),المدخلات!$J$57,IF(AND(المدخلات!$H$57="القسط (الدفعة) الاول",B255=1),المدخلات!$J$57,IF(المدخلات!$H$57="شهري",المدخلات!$J$57,""))),"")</f>
        <v/>
      </c>
      <c r="N255" s="6" t="str">
        <f>IF(B255&lt;&gt;"",IF(AND(المدخلات!$H$58="سنوي",MOD(B255,12)=0),المدخلات!$J$58,IF(AND(المدخلات!$H$58="القسط (الدفعة) الاول",B255=1),المدخلات!$J$58,IF(المدخلات!$H$58="شهري",المدخلات!$J$58,IF(AND(المدخلات!$H$58="End of the loan",B255=المدخلات!$E$58),المدخلات!$J$58,"")))),"")</f>
        <v/>
      </c>
      <c r="O255" s="6">
        <f t="shared" si="30"/>
        <v>208.33333333333334</v>
      </c>
      <c r="P255" s="4">
        <f t="shared" si="31"/>
        <v>10525.868335503435</v>
      </c>
      <c r="T255" s="9">
        <f t="shared" si="32"/>
        <v>52534</v>
      </c>
      <c r="U255" s="5">
        <f t="shared" si="33"/>
        <v>10525.87</v>
      </c>
    </row>
    <row r="256" spans="2:21" x14ac:dyDescent="0.2">
      <c r="B256" s="16">
        <f t="shared" si="36"/>
        <v>239</v>
      </c>
      <c r="C256" s="9">
        <f t="shared" si="37"/>
        <v>52565</v>
      </c>
      <c r="D256" s="6">
        <f>IFERROR((PPMT(المدخلات!$E$55/12,B256,$C$6,المدخلات!$E$54,-المدخلات!$E$65,0))," ")</f>
        <v>-8861.1219062670516</v>
      </c>
      <c r="E256" s="6">
        <f>IFERROR(((IPMT(المدخلات!$E$55/12,B256,$C$6,المدخلات!$E$54,-المدخلات!$E$65,0)))," ")</f>
        <v>-1456.4130959030483</v>
      </c>
      <c r="F256" s="6">
        <f t="shared" si="39"/>
        <v>-1291098.2646183283</v>
      </c>
      <c r="G256" s="6">
        <f t="shared" si="38"/>
        <v>-1174792.600900325</v>
      </c>
      <c r="H256" s="6">
        <f t="shared" si="34"/>
        <v>-10317.5350021701</v>
      </c>
      <c r="I256" s="6">
        <f t="shared" si="35"/>
        <v>308901.73538167169</v>
      </c>
      <c r="J256" s="6" t="str">
        <f>IF(B256&lt;&gt;"",IF(AND(المدخلات!$H$54="سنوي",MOD(B256,12)=0),المدخلات!$J$54,IF(AND(المدخلات!$H$54="القسط (الدفعة) الاول",B256=1),المدخلات!$J$54,IF(المدخلات!$H$54="شهري",المدخلات!$J$54,""))),"")</f>
        <v/>
      </c>
      <c r="K256" s="6" t="str">
        <f>IF(B256&lt;&gt;"",IF(AND(المدخلات!$H$55="سنوي",MOD(B256,12)=0),المدخلات!$J$55,IF(AND(المدخلات!$H$55="القسط (الدفعة) الاول",B256=1),المدخلات!$J$55,IF(المدخلات!$H$55="شهري",المدخلات!$J$55,""))),"")</f>
        <v/>
      </c>
      <c r="L256" s="6">
        <f>IF(B256&lt;&gt;"",IF(AND(المدخلات!$H$56="سنوي",MOD(B256,12)=0),المدخلات!$J$56,IF(AND(المدخلات!$H$56="القسط (الدفعة) الاول",B256=1),المدخلات!$J$56,IF(المدخلات!$H$56="شهري",المدخلات!$J$56,""))),"")</f>
        <v>208.33333333333334</v>
      </c>
      <c r="M256" s="6" t="str">
        <f>IF(B256&lt;&gt;"",IF(AND(المدخلات!$H$57="سنوي",MOD(B256,12)=0),المدخلات!$J$57,IF(AND(المدخلات!$H$57="القسط (الدفعة) الاول",B256=1),المدخلات!$J$57,IF(المدخلات!$H$57="شهري",المدخلات!$J$57,""))),"")</f>
        <v/>
      </c>
      <c r="N256" s="6" t="str">
        <f>IF(B256&lt;&gt;"",IF(AND(المدخلات!$H$58="سنوي",MOD(B256,12)=0),المدخلات!$J$58,IF(AND(المدخلات!$H$58="القسط (الدفعة) الاول",B256=1),المدخلات!$J$58,IF(المدخلات!$H$58="شهري",المدخلات!$J$58,IF(AND(المدخلات!$H$58="End of the loan",B256=المدخلات!$E$58),المدخلات!$J$58,"")))),"")</f>
        <v/>
      </c>
      <c r="O256" s="6">
        <f t="shared" si="30"/>
        <v>208.33333333333334</v>
      </c>
      <c r="P256" s="4">
        <f t="shared" si="31"/>
        <v>10525.868335503434</v>
      </c>
      <c r="T256" s="9">
        <f t="shared" si="32"/>
        <v>52565</v>
      </c>
      <c r="U256" s="5">
        <f t="shared" si="33"/>
        <v>10525.87</v>
      </c>
    </row>
    <row r="257" spans="2:21" x14ac:dyDescent="0.2">
      <c r="B257" s="16">
        <f t="shared" si="36"/>
        <v>240</v>
      </c>
      <c r="C257" s="9">
        <f t="shared" si="37"/>
        <v>52595</v>
      </c>
      <c r="D257" s="6">
        <f>IFERROR((PPMT(المدخلات!$E$55/12,B257,$C$6,المدخلات!$E$54,-المدخلات!$E$65,0))," ")</f>
        <v>-8901.7353816707764</v>
      </c>
      <c r="E257" s="6">
        <f>IFERROR(((IPMT(المدخلات!$E$55/12,B257,$C$6,المدخلات!$E$54,-المدخلات!$E$65,0)))," ")</f>
        <v>-1415.7996204993244</v>
      </c>
      <c r="F257" s="6">
        <f t="shared" si="39"/>
        <v>-1299999.9999999991</v>
      </c>
      <c r="G257" s="6">
        <f t="shared" si="38"/>
        <v>-1176208.4005208244</v>
      </c>
      <c r="H257" s="6">
        <f t="shared" si="34"/>
        <v>-310317.53500217013</v>
      </c>
      <c r="I257" s="6">
        <f t="shared" si="35"/>
        <v>300000.00000000093</v>
      </c>
      <c r="J257" s="6" t="str">
        <f>IF(B257&lt;&gt;"",IF(AND(المدخلات!$H$54="سنوي",MOD(B257,12)=0),المدخلات!$J$54,IF(AND(المدخلات!$H$54="القسط (الدفعة) الاول",B257=1),المدخلات!$J$54,IF(المدخلات!$H$54="شهري",المدخلات!$J$54,""))),"")</f>
        <v/>
      </c>
      <c r="K257" s="6" t="str">
        <f>IF(B257&lt;&gt;"",IF(AND(المدخلات!$H$55="سنوي",MOD(B257,12)=0),المدخلات!$J$55,IF(AND(المدخلات!$H$55="القسط (الدفعة) الاول",B257=1),المدخلات!$J$55,IF(المدخلات!$H$55="شهري",المدخلات!$J$55,""))),"")</f>
        <v/>
      </c>
      <c r="L257" s="6">
        <f>IF(B257&lt;&gt;"",IF(AND(المدخلات!$H$56="سنوي",MOD(B257,12)=0),المدخلات!$J$56,IF(AND(المدخلات!$H$56="القسط (الدفعة) الاول",B257=1),المدخلات!$J$56,IF(المدخلات!$H$56="شهري",المدخلات!$J$56,""))),"")</f>
        <v>208.33333333333334</v>
      </c>
      <c r="M257" s="6" t="str">
        <f>IF(B257&lt;&gt;"",IF(AND(المدخلات!$H$57="سنوي",MOD(B257,12)=0),المدخلات!$J$57,IF(AND(المدخلات!$H$57="القسط (الدفعة) الاول",B257=1),المدخلات!$J$57,IF(المدخلات!$H$57="شهري",المدخلات!$J$57,""))),"")</f>
        <v/>
      </c>
      <c r="N257" s="6">
        <f>IF(B257&lt;&gt;"",IF(AND(المدخلات!$H$58="سنوي",MOD(B257,12)=0),المدخلات!$J$58,IF(AND(المدخلات!$H$58="القسط (الدفعة) الاول",B257=1),المدخلات!$J$58,IF(المدخلات!$H$58="شهري",المدخلات!$J$58,IF(AND(المدخلات!$H$58="End of the loan",B257=المدخلات!$E$58),المدخلات!$J$58,"")))),"")</f>
        <v>0</v>
      </c>
      <c r="O257" s="6">
        <f t="shared" si="30"/>
        <v>208.33333333333334</v>
      </c>
      <c r="P257" s="4">
        <f t="shared" si="31"/>
        <v>310525.86833550344</v>
      </c>
      <c r="T257" s="9">
        <f t="shared" si="32"/>
        <v>52595</v>
      </c>
      <c r="U257" s="5">
        <f t="shared" si="33"/>
        <v>310525.87</v>
      </c>
    </row>
    <row r="258" spans="2:21" x14ac:dyDescent="0.2">
      <c r="B258" s="16" t="str">
        <f t="shared" si="36"/>
        <v/>
      </c>
      <c r="C258" s="9" t="str">
        <f t="shared" si="37"/>
        <v/>
      </c>
      <c r="D258" s="6" t="str">
        <f>IFERROR((PPMT(المدخلات!$E$55/12,B258,$C$6,المدخلات!$E$54,-المدخلات!$E$65,0))," ")</f>
        <v xml:space="preserve"> </v>
      </c>
      <c r="E258" s="6" t="str">
        <f>IFERROR(((IPMT(المدخلات!$E$55/12,B258,$C$6,المدخلات!$E$54,-المدخلات!$E$65,0)))," ")</f>
        <v xml:space="preserve"> </v>
      </c>
      <c r="F258" s="6" t="str">
        <f t="shared" si="39"/>
        <v/>
      </c>
      <c r="G258" s="6" t="str">
        <f t="shared" si="38"/>
        <v/>
      </c>
      <c r="H258" s="6" t="str">
        <f t="shared" si="34"/>
        <v/>
      </c>
      <c r="I258" s="6" t="str">
        <f t="shared" si="35"/>
        <v/>
      </c>
      <c r="J258" s="6" t="str">
        <f>IF(B258&lt;&gt;"",IF(AND(المدخلات!$H$54="سنوي",MOD(B258,12)=0),المدخلات!$J$54,IF(AND(المدخلات!$H$54="القسط (الدفعة) الاول",B258=1),المدخلات!$J$54,IF(المدخلات!$H$54="شهري",المدخلات!$J$54,""))),"")</f>
        <v/>
      </c>
      <c r="K258" s="6" t="str">
        <f>IF(B258&lt;&gt;"",IF(AND(المدخلات!$H$55="سنوي",MOD(B258,12)=0),المدخلات!$J$55,IF(AND(المدخلات!$H$55="القسط (الدفعة) الاول",B258=1),المدخلات!$J$55,IF(المدخلات!$H$55="شهري",المدخلات!$J$55,""))),"")</f>
        <v/>
      </c>
      <c r="L258" s="6" t="str">
        <f>IF(B258&lt;&gt;"",IF(AND(المدخلات!$H$56="سنوي",MOD(B258,12)=0),المدخلات!$J$56,IF(AND(المدخلات!$H$56="القسط (الدفعة) الاول",B258=1),المدخلات!$J$56,IF(المدخلات!$H$56="شهري",المدخلات!$J$56,""))),"")</f>
        <v/>
      </c>
      <c r="M258" s="6" t="str">
        <f>IF(B258&lt;&gt;"",IF(AND(المدخلات!$H$57="سنوي",MOD(B258,12)=0),المدخلات!$J$57,IF(AND(المدخلات!$H$57="القسط (الدفعة) الاول",B258=1),المدخلات!$J$57,IF(المدخلات!$H$57="شهري",المدخلات!$J$57,""))),"")</f>
        <v/>
      </c>
      <c r="N258" s="6" t="str">
        <f>IF(B258&lt;&gt;"",IF(AND(المدخلات!$H$58="سنوي",MOD(B258,12)=0),المدخلات!$J$58,IF(AND(المدخلات!$H$58="القسط (الدفعة) الاول",B258=1),المدخلات!$J$58,IF(المدخلات!$H$58="شهري",المدخلات!$J$58,IF(AND(المدخلات!$H$58="End of the loan",B258=المدخلات!$E$58),المدخلات!$J$58,"")))),"")</f>
        <v/>
      </c>
      <c r="O258" s="6" t="str">
        <f t="shared" si="30"/>
        <v/>
      </c>
      <c r="P258" s="4" t="str">
        <f t="shared" si="31"/>
        <v/>
      </c>
      <c r="T258" s="9" t="str">
        <f t="shared" si="32"/>
        <v/>
      </c>
      <c r="U258" s="5" t="str">
        <f t="shared" si="33"/>
        <v xml:space="preserve"> </v>
      </c>
    </row>
    <row r="259" spans="2:21" x14ac:dyDescent="0.2">
      <c r="B259" s="16" t="str">
        <f t="shared" si="36"/>
        <v/>
      </c>
      <c r="C259" s="9" t="str">
        <f t="shared" si="37"/>
        <v/>
      </c>
      <c r="D259" s="6" t="str">
        <f>IFERROR((PPMT(المدخلات!$E$55/12,B259,$C$6,المدخلات!$E$54,-المدخلات!$E$65,0))," ")</f>
        <v xml:space="preserve"> </v>
      </c>
      <c r="E259" s="6" t="str">
        <f>IFERROR(((IPMT(المدخلات!$E$55/12,B259,$C$6,المدخلات!$E$54,-المدخلات!$E$65,0)))," ")</f>
        <v xml:space="preserve"> </v>
      </c>
      <c r="F259" s="6" t="str">
        <f t="shared" si="39"/>
        <v/>
      </c>
      <c r="G259" s="6" t="str">
        <f t="shared" si="38"/>
        <v/>
      </c>
      <c r="H259" s="6" t="str">
        <f t="shared" si="34"/>
        <v/>
      </c>
      <c r="I259" s="6" t="str">
        <f t="shared" si="35"/>
        <v/>
      </c>
      <c r="J259" s="6" t="str">
        <f>IF(B259&lt;&gt;"",IF(AND(المدخلات!$H$54="سنوي",MOD(B259,12)=0),المدخلات!$J$54,IF(AND(المدخلات!$H$54="القسط (الدفعة) الاول",B259=1),المدخلات!$J$54,IF(المدخلات!$H$54="شهري",المدخلات!$J$54,""))),"")</f>
        <v/>
      </c>
      <c r="K259" s="6" t="str">
        <f>IF(B259&lt;&gt;"",IF(AND(المدخلات!$H$55="سنوي",MOD(B259,12)=0),المدخلات!$J$55,IF(AND(المدخلات!$H$55="القسط (الدفعة) الاول",B259=1),المدخلات!$J$55,IF(المدخلات!$H$55="شهري",المدخلات!$J$55,""))),"")</f>
        <v/>
      </c>
      <c r="L259" s="6" t="str">
        <f>IF(B259&lt;&gt;"",IF(AND(المدخلات!$H$56="سنوي",MOD(B259,12)=0),المدخلات!$J$56,IF(AND(المدخلات!$H$56="القسط (الدفعة) الاول",B259=1),المدخلات!$J$56,IF(المدخلات!$H$56="شهري",المدخلات!$J$56,""))),"")</f>
        <v/>
      </c>
      <c r="M259" s="6" t="str">
        <f>IF(B259&lt;&gt;"",IF(AND(المدخلات!$H$57="سنوي",MOD(B259,12)=0),المدخلات!$J$57,IF(AND(المدخلات!$H$57="القسط (الدفعة) الاول",B259=1),المدخلات!$J$57,IF(المدخلات!$H$57="شهري",المدخلات!$J$57,""))),"")</f>
        <v/>
      </c>
      <c r="N259" s="6" t="str">
        <f>IF(B259&lt;&gt;"",IF(AND(المدخلات!$H$58="سنوي",MOD(B259,12)=0),المدخلات!$J$58,IF(AND(المدخلات!$H$58="القسط (الدفعة) الاول",B259=1),المدخلات!$J$58,IF(المدخلات!$H$58="شهري",المدخلات!$J$58,IF(AND(المدخلات!$H$58="End of the loan",B259=المدخلات!$E$58),المدخلات!$J$58,"")))),"")</f>
        <v/>
      </c>
      <c r="O259" s="6" t="str">
        <f t="shared" si="30"/>
        <v/>
      </c>
      <c r="P259" s="4" t="str">
        <f t="shared" si="31"/>
        <v/>
      </c>
      <c r="T259" s="9" t="str">
        <f t="shared" si="32"/>
        <v/>
      </c>
      <c r="U259" s="5" t="str">
        <f t="shared" si="33"/>
        <v xml:space="preserve"> </v>
      </c>
    </row>
    <row r="260" spans="2:21" x14ac:dyDescent="0.2">
      <c r="B260" s="16" t="str">
        <f t="shared" si="36"/>
        <v/>
      </c>
      <c r="C260" s="9" t="str">
        <f t="shared" si="37"/>
        <v/>
      </c>
      <c r="D260" s="6" t="str">
        <f>IFERROR((PPMT(المدخلات!$E$55/12,B260,$C$6,المدخلات!$E$54,-المدخلات!$E$65,0))," ")</f>
        <v xml:space="preserve"> </v>
      </c>
      <c r="E260" s="6" t="str">
        <f>IFERROR(((IPMT(المدخلات!$E$55/12,B260,$C$6,المدخلات!$E$54,-المدخلات!$E$65,0)))," ")</f>
        <v xml:space="preserve"> </v>
      </c>
      <c r="F260" s="6" t="str">
        <f t="shared" si="39"/>
        <v/>
      </c>
      <c r="G260" s="6" t="str">
        <f t="shared" si="38"/>
        <v/>
      </c>
      <c r="H260" s="6" t="str">
        <f t="shared" si="34"/>
        <v/>
      </c>
      <c r="I260" s="6" t="str">
        <f t="shared" si="35"/>
        <v/>
      </c>
      <c r="J260" s="6" t="str">
        <f>IF(B260&lt;&gt;"",IF(AND(المدخلات!$H$54="سنوي",MOD(B260,12)=0),المدخلات!$J$54,IF(AND(المدخلات!$H$54="القسط (الدفعة) الاول",B260=1),المدخلات!$J$54,IF(المدخلات!$H$54="شهري",المدخلات!$J$54,""))),"")</f>
        <v/>
      </c>
      <c r="K260" s="6" t="str">
        <f>IF(B260&lt;&gt;"",IF(AND(المدخلات!$H$55="سنوي",MOD(B260,12)=0),المدخلات!$J$55,IF(AND(المدخلات!$H$55="القسط (الدفعة) الاول",B260=1),المدخلات!$J$55,IF(المدخلات!$H$55="شهري",المدخلات!$J$55,""))),"")</f>
        <v/>
      </c>
      <c r="L260" s="6" t="str">
        <f>IF(B260&lt;&gt;"",IF(AND(المدخلات!$H$56="سنوي",MOD(B260,12)=0),المدخلات!$J$56,IF(AND(المدخلات!$H$56="القسط (الدفعة) الاول",B260=1),المدخلات!$J$56,IF(المدخلات!$H$56="شهري",المدخلات!$J$56,""))),"")</f>
        <v/>
      </c>
      <c r="M260" s="6" t="str">
        <f>IF(B260&lt;&gt;"",IF(AND(المدخلات!$H$57="سنوي",MOD(B260,12)=0),المدخلات!$J$57,IF(AND(المدخلات!$H$57="القسط (الدفعة) الاول",B260=1),المدخلات!$J$57,IF(المدخلات!$H$57="شهري",المدخلات!$J$57,""))),"")</f>
        <v/>
      </c>
      <c r="N260" s="6" t="str">
        <f>IF(B260&lt;&gt;"",IF(AND(المدخلات!$H$58="سنوي",MOD(B260,12)=0),المدخلات!$J$58,IF(AND(المدخلات!$H$58="القسط (الدفعة) الاول",B260=1),المدخلات!$J$58,IF(المدخلات!$H$58="شهري",المدخلات!$J$58,IF(AND(المدخلات!$H$58="End of the loan",B260=المدخلات!$E$58),المدخلات!$J$58,"")))),"")</f>
        <v/>
      </c>
      <c r="O260" s="6" t="str">
        <f t="shared" si="30"/>
        <v/>
      </c>
      <c r="P260" s="4" t="str">
        <f t="shared" si="31"/>
        <v/>
      </c>
      <c r="T260" s="9" t="str">
        <f t="shared" si="32"/>
        <v/>
      </c>
      <c r="U260" s="5" t="str">
        <f t="shared" si="33"/>
        <v xml:space="preserve"> </v>
      </c>
    </row>
    <row r="261" spans="2:21" x14ac:dyDescent="0.2">
      <c r="B261" s="16" t="str">
        <f t="shared" si="36"/>
        <v/>
      </c>
      <c r="C261" s="9" t="str">
        <f t="shared" si="37"/>
        <v/>
      </c>
      <c r="D261" s="6" t="str">
        <f>IFERROR((PPMT(المدخلات!$E$55/12,B261,$C$6,المدخلات!$E$54,-المدخلات!$E$65,0))," ")</f>
        <v xml:space="preserve"> </v>
      </c>
      <c r="E261" s="6" t="str">
        <f>IFERROR(((IPMT(المدخلات!$E$55/12,B261,$C$6,المدخلات!$E$54,-المدخلات!$E$65,0)))," ")</f>
        <v xml:space="preserve"> </v>
      </c>
      <c r="F261" s="6" t="str">
        <f t="shared" si="39"/>
        <v/>
      </c>
      <c r="G261" s="6" t="str">
        <f t="shared" si="38"/>
        <v/>
      </c>
      <c r="H261" s="6" t="str">
        <f t="shared" si="34"/>
        <v/>
      </c>
      <c r="I261" s="6" t="str">
        <f t="shared" si="35"/>
        <v/>
      </c>
      <c r="J261" s="6" t="str">
        <f>IF(B261&lt;&gt;"",IF(AND(المدخلات!$H$54="سنوي",MOD(B261,12)=0),المدخلات!$J$54,IF(AND(المدخلات!$H$54="القسط (الدفعة) الاول",B261=1),المدخلات!$J$54,IF(المدخلات!$H$54="شهري",المدخلات!$J$54,""))),"")</f>
        <v/>
      </c>
      <c r="K261" s="6" t="str">
        <f>IF(B261&lt;&gt;"",IF(AND(المدخلات!$H$55="سنوي",MOD(B261,12)=0),المدخلات!$J$55,IF(AND(المدخلات!$H$55="القسط (الدفعة) الاول",B261=1),المدخلات!$J$55,IF(المدخلات!$H$55="شهري",المدخلات!$J$55,""))),"")</f>
        <v/>
      </c>
      <c r="L261" s="6" t="str">
        <f>IF(B261&lt;&gt;"",IF(AND(المدخلات!$H$56="سنوي",MOD(B261,12)=0),المدخلات!$J$56,IF(AND(المدخلات!$H$56="القسط (الدفعة) الاول",B261=1),المدخلات!$J$56,IF(المدخلات!$H$56="شهري",المدخلات!$J$56,""))),"")</f>
        <v/>
      </c>
      <c r="M261" s="6" t="str">
        <f>IF(B261&lt;&gt;"",IF(AND(المدخلات!$H$57="سنوي",MOD(B261,12)=0),المدخلات!$J$57,IF(AND(المدخلات!$H$57="القسط (الدفعة) الاول",B261=1),المدخلات!$J$57,IF(المدخلات!$H$57="شهري",المدخلات!$J$57,""))),"")</f>
        <v/>
      </c>
      <c r="N261" s="6" t="str">
        <f>IF(B261&lt;&gt;"",IF(AND(المدخلات!$H$58="سنوي",MOD(B261,12)=0),المدخلات!$J$58,IF(AND(المدخلات!$H$58="القسط (الدفعة) الاول",B261=1),المدخلات!$J$58,IF(المدخلات!$H$58="شهري",المدخلات!$J$58,IF(AND(المدخلات!$H$58="End of the loan",B261=المدخلات!$E$58),المدخلات!$J$58,"")))),"")</f>
        <v/>
      </c>
      <c r="O261" s="6" t="str">
        <f t="shared" si="30"/>
        <v/>
      </c>
      <c r="P261" s="4" t="str">
        <f t="shared" si="31"/>
        <v/>
      </c>
      <c r="T261" s="9" t="str">
        <f t="shared" si="32"/>
        <v/>
      </c>
      <c r="U261" s="5" t="str">
        <f t="shared" si="33"/>
        <v xml:space="preserve"> </v>
      </c>
    </row>
    <row r="262" spans="2:21" x14ac:dyDescent="0.2">
      <c r="B262" s="16" t="str">
        <f t="shared" si="36"/>
        <v/>
      </c>
      <c r="C262" s="9" t="str">
        <f t="shared" si="37"/>
        <v/>
      </c>
      <c r="D262" s="6" t="str">
        <f>IFERROR((PPMT(المدخلات!$E$55/12,B262,$C$6,المدخلات!$E$54,-المدخلات!$E$65,0))," ")</f>
        <v xml:space="preserve"> </v>
      </c>
      <c r="E262" s="6" t="str">
        <f>IFERROR(((IPMT(المدخلات!$E$55/12,B262,$C$6,المدخلات!$E$54,-المدخلات!$E$65,0)))," ")</f>
        <v xml:space="preserve"> </v>
      </c>
      <c r="F262" s="6" t="str">
        <f t="shared" si="39"/>
        <v/>
      </c>
      <c r="G262" s="6" t="str">
        <f t="shared" si="38"/>
        <v/>
      </c>
      <c r="H262" s="6" t="str">
        <f t="shared" si="34"/>
        <v/>
      </c>
      <c r="I262" s="6" t="str">
        <f t="shared" si="35"/>
        <v/>
      </c>
      <c r="J262" s="6" t="str">
        <f>IF(B262&lt;&gt;"",IF(AND(المدخلات!$H$54="سنوي",MOD(B262,12)=0),المدخلات!$J$54,IF(AND(المدخلات!$H$54="القسط (الدفعة) الاول",B262=1),المدخلات!$J$54,IF(المدخلات!$H$54="شهري",المدخلات!$J$54,""))),"")</f>
        <v/>
      </c>
      <c r="K262" s="6" t="str">
        <f>IF(B262&lt;&gt;"",IF(AND(المدخلات!$H$55="سنوي",MOD(B262,12)=0),المدخلات!$J$55,IF(AND(المدخلات!$H$55="القسط (الدفعة) الاول",B262=1),المدخلات!$J$55,IF(المدخلات!$H$55="شهري",المدخلات!$J$55,""))),"")</f>
        <v/>
      </c>
      <c r="L262" s="6" t="str">
        <f>IF(B262&lt;&gt;"",IF(AND(المدخلات!$H$56="سنوي",MOD(B262,12)=0),المدخلات!$J$56,IF(AND(المدخلات!$H$56="القسط (الدفعة) الاول",B262=1),المدخلات!$J$56,IF(المدخلات!$H$56="شهري",المدخلات!$J$56,""))),"")</f>
        <v/>
      </c>
      <c r="M262" s="6" t="str">
        <f>IF(B262&lt;&gt;"",IF(AND(المدخلات!$H$57="سنوي",MOD(B262,12)=0),المدخلات!$J$57,IF(AND(المدخلات!$H$57="القسط (الدفعة) الاول",B262=1),المدخلات!$J$57,IF(المدخلات!$H$57="شهري",المدخلات!$J$57,""))),"")</f>
        <v/>
      </c>
      <c r="N262" s="6" t="str">
        <f>IF(B262&lt;&gt;"",IF(AND(المدخلات!$H$58="سنوي",MOD(B262,12)=0),المدخلات!$J$58,IF(AND(المدخلات!$H$58="القسط (الدفعة) الاول",B262=1),المدخلات!$J$58,IF(المدخلات!$H$58="شهري",المدخلات!$J$58,IF(AND(المدخلات!$H$58="End of the loan",B262=المدخلات!$E$58),المدخلات!$J$58,"")))),"")</f>
        <v/>
      </c>
      <c r="O262" s="6" t="str">
        <f t="shared" si="30"/>
        <v/>
      </c>
      <c r="P262" s="4" t="str">
        <f t="shared" si="31"/>
        <v/>
      </c>
      <c r="T262" s="9" t="str">
        <f t="shared" si="32"/>
        <v/>
      </c>
      <c r="U262" s="5" t="str">
        <f t="shared" si="33"/>
        <v xml:space="preserve"> </v>
      </c>
    </row>
    <row r="263" spans="2:21" x14ac:dyDescent="0.2">
      <c r="B263" s="16" t="str">
        <f t="shared" si="36"/>
        <v/>
      </c>
      <c r="C263" s="9" t="str">
        <f t="shared" si="37"/>
        <v/>
      </c>
      <c r="D263" s="6" t="str">
        <f>IFERROR((PPMT(المدخلات!$E$55/12,B263,$C$6,المدخلات!$E$54,-المدخلات!$E$65,0))," ")</f>
        <v xml:space="preserve"> </v>
      </c>
      <c r="E263" s="6" t="str">
        <f>IFERROR(((IPMT(المدخلات!$E$55/12,B263,$C$6,المدخلات!$E$54,-المدخلات!$E$65,0)))," ")</f>
        <v xml:space="preserve"> </v>
      </c>
      <c r="F263" s="6" t="str">
        <f t="shared" si="39"/>
        <v/>
      </c>
      <c r="G263" s="6" t="str">
        <f t="shared" si="38"/>
        <v/>
      </c>
      <c r="H263" s="6" t="str">
        <f t="shared" si="34"/>
        <v/>
      </c>
      <c r="I263" s="6" t="str">
        <f t="shared" si="35"/>
        <v/>
      </c>
      <c r="J263" s="6" t="str">
        <f>IF(B263&lt;&gt;"",IF(AND(المدخلات!$H$54="سنوي",MOD(B263,12)=0),المدخلات!$J$54,IF(AND(المدخلات!$H$54="القسط (الدفعة) الاول",B263=1),المدخلات!$J$54,IF(المدخلات!$H$54="شهري",المدخلات!$J$54,""))),"")</f>
        <v/>
      </c>
      <c r="K263" s="6" t="str">
        <f>IF(B263&lt;&gt;"",IF(AND(المدخلات!$H$55="سنوي",MOD(B263,12)=0),المدخلات!$J$55,IF(AND(المدخلات!$H$55="القسط (الدفعة) الاول",B263=1),المدخلات!$J$55,IF(المدخلات!$H$55="شهري",المدخلات!$J$55,""))),"")</f>
        <v/>
      </c>
      <c r="L263" s="6" t="str">
        <f>IF(B263&lt;&gt;"",IF(AND(المدخلات!$H$56="سنوي",MOD(B263,12)=0),المدخلات!$J$56,IF(AND(المدخلات!$H$56="القسط (الدفعة) الاول",B263=1),المدخلات!$J$56,IF(المدخلات!$H$56="شهري",المدخلات!$J$56,""))),"")</f>
        <v/>
      </c>
      <c r="M263" s="6" t="str">
        <f>IF(B263&lt;&gt;"",IF(AND(المدخلات!$H$57="سنوي",MOD(B263,12)=0),المدخلات!$J$57,IF(AND(المدخلات!$H$57="القسط (الدفعة) الاول",B263=1),المدخلات!$J$57,IF(المدخلات!$H$57="شهري",المدخلات!$J$57,""))),"")</f>
        <v/>
      </c>
      <c r="N263" s="6" t="str">
        <f>IF(B263&lt;&gt;"",IF(AND(المدخلات!$H$58="سنوي",MOD(B263,12)=0),المدخلات!$J$58,IF(AND(المدخلات!$H$58="القسط (الدفعة) الاول",B263=1),المدخلات!$J$58,IF(المدخلات!$H$58="شهري",المدخلات!$J$58,IF(AND(المدخلات!$H$58="End of the loan",B263=المدخلات!$E$58),المدخلات!$J$58,"")))),"")</f>
        <v/>
      </c>
      <c r="O263" s="6" t="str">
        <f t="shared" si="30"/>
        <v/>
      </c>
      <c r="P263" s="4" t="str">
        <f t="shared" si="31"/>
        <v/>
      </c>
      <c r="T263" s="9" t="str">
        <f t="shared" si="32"/>
        <v/>
      </c>
      <c r="U263" s="5" t="str">
        <f t="shared" si="33"/>
        <v xml:space="preserve"> </v>
      </c>
    </row>
    <row r="264" spans="2:21" x14ac:dyDescent="0.2">
      <c r="B264" s="16" t="str">
        <f t="shared" si="36"/>
        <v/>
      </c>
      <c r="C264" s="9" t="str">
        <f t="shared" si="37"/>
        <v/>
      </c>
      <c r="D264" s="6" t="str">
        <f>IFERROR((PPMT(المدخلات!$E$55/12,B264,$C$6,المدخلات!$E$54,-المدخلات!$E$65,0))," ")</f>
        <v xml:space="preserve"> </v>
      </c>
      <c r="E264" s="6" t="str">
        <f>IFERROR(((IPMT(المدخلات!$E$55/12,B264,$C$6,المدخلات!$E$54,-المدخلات!$E$65,0)))," ")</f>
        <v xml:space="preserve"> </v>
      </c>
      <c r="F264" s="6" t="str">
        <f t="shared" si="39"/>
        <v/>
      </c>
      <c r="G264" s="6" t="str">
        <f t="shared" si="38"/>
        <v/>
      </c>
      <c r="H264" s="6" t="str">
        <f t="shared" si="34"/>
        <v/>
      </c>
      <c r="I264" s="6" t="str">
        <f t="shared" si="35"/>
        <v/>
      </c>
      <c r="J264" s="6" t="str">
        <f>IF(B264&lt;&gt;"",IF(AND(المدخلات!$H$54="سنوي",MOD(B264,12)=0),المدخلات!$J$54,IF(AND(المدخلات!$H$54="القسط (الدفعة) الاول",B264=1),المدخلات!$J$54,IF(المدخلات!$H$54="شهري",المدخلات!$J$54,""))),"")</f>
        <v/>
      </c>
      <c r="K264" s="6" t="str">
        <f>IF(B264&lt;&gt;"",IF(AND(المدخلات!$H$55="سنوي",MOD(B264,12)=0),المدخلات!$J$55,IF(AND(المدخلات!$H$55="القسط (الدفعة) الاول",B264=1),المدخلات!$J$55,IF(المدخلات!$H$55="شهري",المدخلات!$J$55,""))),"")</f>
        <v/>
      </c>
      <c r="L264" s="6" t="str">
        <f>IF(B264&lt;&gt;"",IF(AND(المدخلات!$H$56="سنوي",MOD(B264,12)=0),المدخلات!$J$56,IF(AND(المدخلات!$H$56="القسط (الدفعة) الاول",B264=1),المدخلات!$J$56,IF(المدخلات!$H$56="شهري",المدخلات!$J$56,""))),"")</f>
        <v/>
      </c>
      <c r="M264" s="6" t="str">
        <f>IF(B264&lt;&gt;"",IF(AND(المدخلات!$H$57="سنوي",MOD(B264,12)=0),المدخلات!$J$57,IF(AND(المدخلات!$H$57="القسط (الدفعة) الاول",B264=1),المدخلات!$J$57,IF(المدخلات!$H$57="شهري",المدخلات!$J$57,""))),"")</f>
        <v/>
      </c>
      <c r="N264" s="6" t="str">
        <f>IF(B264&lt;&gt;"",IF(AND(المدخلات!$H$58="سنوي",MOD(B264,12)=0),المدخلات!$J$58,IF(AND(المدخلات!$H$58="القسط (الدفعة) الاول",B264=1),المدخلات!$J$58,IF(المدخلات!$H$58="شهري",المدخلات!$J$58,IF(AND(المدخلات!$H$58="End of the loan",B264=المدخلات!$E$58),المدخلات!$J$58,"")))),"")</f>
        <v/>
      </c>
      <c r="O264" s="6" t="str">
        <f t="shared" si="30"/>
        <v/>
      </c>
      <c r="P264" s="4" t="str">
        <f t="shared" si="31"/>
        <v/>
      </c>
      <c r="T264" s="9" t="str">
        <f t="shared" si="32"/>
        <v/>
      </c>
      <c r="U264" s="5" t="str">
        <f t="shared" si="33"/>
        <v xml:space="preserve"> </v>
      </c>
    </row>
    <row r="265" spans="2:21" x14ac:dyDescent="0.2">
      <c r="B265" s="16" t="str">
        <f t="shared" si="36"/>
        <v/>
      </c>
      <c r="C265" s="9" t="str">
        <f t="shared" si="37"/>
        <v/>
      </c>
      <c r="D265" s="6" t="str">
        <f>IFERROR((PPMT(المدخلات!$E$55/12,B265,$C$6,المدخلات!$E$54,-المدخلات!$E$65,0))," ")</f>
        <v xml:space="preserve"> </v>
      </c>
      <c r="E265" s="6" t="str">
        <f>IFERROR(((IPMT(المدخلات!$E$55/12,B265,$C$6,المدخلات!$E$54,-المدخلات!$E$65,0)))," ")</f>
        <v xml:space="preserve"> </v>
      </c>
      <c r="F265" s="6" t="str">
        <f t="shared" si="39"/>
        <v/>
      </c>
      <c r="G265" s="6" t="str">
        <f t="shared" si="38"/>
        <v/>
      </c>
      <c r="H265" s="6" t="str">
        <f t="shared" si="34"/>
        <v/>
      </c>
      <c r="I265" s="6" t="str">
        <f t="shared" si="35"/>
        <v/>
      </c>
      <c r="J265" s="6" t="str">
        <f>IF(B265&lt;&gt;"",IF(AND(المدخلات!$H$54="سنوي",MOD(B265,12)=0),المدخلات!$J$54,IF(AND(المدخلات!$H$54="القسط (الدفعة) الاول",B265=1),المدخلات!$J$54,IF(المدخلات!$H$54="شهري",المدخلات!$J$54,""))),"")</f>
        <v/>
      </c>
      <c r="K265" s="6" t="str">
        <f>IF(B265&lt;&gt;"",IF(AND(المدخلات!$H$55="سنوي",MOD(B265,12)=0),المدخلات!$J$55,IF(AND(المدخلات!$H$55="القسط (الدفعة) الاول",B265=1),المدخلات!$J$55,IF(المدخلات!$H$55="شهري",المدخلات!$J$55,""))),"")</f>
        <v/>
      </c>
      <c r="L265" s="6" t="str">
        <f>IF(B265&lt;&gt;"",IF(AND(المدخلات!$H$56="سنوي",MOD(B265,12)=0),المدخلات!$J$56,IF(AND(المدخلات!$H$56="القسط (الدفعة) الاول",B265=1),المدخلات!$J$56,IF(المدخلات!$H$56="شهري",المدخلات!$J$56,""))),"")</f>
        <v/>
      </c>
      <c r="M265" s="6" t="str">
        <f>IF(B265&lt;&gt;"",IF(AND(المدخلات!$H$57="سنوي",MOD(B265,12)=0),المدخلات!$J$57,IF(AND(المدخلات!$H$57="القسط (الدفعة) الاول",B265=1),المدخلات!$J$57,IF(المدخلات!$H$57="شهري",المدخلات!$J$57,""))),"")</f>
        <v/>
      </c>
      <c r="N265" s="6" t="str">
        <f>IF(B265&lt;&gt;"",IF(AND(المدخلات!$H$58="سنوي",MOD(B265,12)=0),المدخلات!$J$58,IF(AND(المدخلات!$H$58="القسط (الدفعة) الاول",B265=1),المدخلات!$J$58,IF(المدخلات!$H$58="شهري",المدخلات!$J$58,IF(AND(المدخلات!$H$58="End of the loan",B265=المدخلات!$E$58),المدخلات!$J$58,"")))),"")</f>
        <v/>
      </c>
      <c r="O265" s="6" t="str">
        <f t="shared" si="30"/>
        <v/>
      </c>
      <c r="P265" s="4" t="str">
        <f t="shared" si="31"/>
        <v/>
      </c>
      <c r="T265" s="9" t="str">
        <f t="shared" si="32"/>
        <v/>
      </c>
      <c r="U265" s="5" t="str">
        <f t="shared" si="33"/>
        <v xml:space="preserve"> </v>
      </c>
    </row>
    <row r="266" spans="2:21" x14ac:dyDescent="0.2">
      <c r="B266" s="16" t="str">
        <f t="shared" si="36"/>
        <v/>
      </c>
      <c r="C266" s="9" t="str">
        <f t="shared" si="37"/>
        <v/>
      </c>
      <c r="D266" s="6" t="str">
        <f>IFERROR((PPMT(المدخلات!$E$55/12,B266,$C$6,المدخلات!$E$54,-المدخلات!$E$65,0))," ")</f>
        <v xml:space="preserve"> </v>
      </c>
      <c r="E266" s="6" t="str">
        <f>IFERROR(((IPMT(المدخلات!$E$55/12,B266,$C$6,المدخلات!$E$54,-المدخلات!$E$65,0)))," ")</f>
        <v xml:space="preserve"> </v>
      </c>
      <c r="F266" s="6" t="str">
        <f t="shared" si="39"/>
        <v/>
      </c>
      <c r="G266" s="6" t="str">
        <f t="shared" si="38"/>
        <v/>
      </c>
      <c r="H266" s="6" t="str">
        <f t="shared" si="34"/>
        <v/>
      </c>
      <c r="I266" s="6" t="str">
        <f t="shared" si="35"/>
        <v/>
      </c>
      <c r="J266" s="6" t="str">
        <f>IF(B266&lt;&gt;"",IF(AND(المدخلات!$H$54="سنوي",MOD(B266,12)=0),المدخلات!$J$54,IF(AND(المدخلات!$H$54="القسط (الدفعة) الاول",B266=1),المدخلات!$J$54,IF(المدخلات!$H$54="شهري",المدخلات!$J$54,""))),"")</f>
        <v/>
      </c>
      <c r="K266" s="6" t="str">
        <f>IF(B266&lt;&gt;"",IF(AND(المدخلات!$H$55="سنوي",MOD(B266,12)=0),المدخلات!$J$55,IF(AND(المدخلات!$H$55="القسط (الدفعة) الاول",B266=1),المدخلات!$J$55,IF(المدخلات!$H$55="شهري",المدخلات!$J$55,""))),"")</f>
        <v/>
      </c>
      <c r="L266" s="6" t="str">
        <f>IF(B266&lt;&gt;"",IF(AND(المدخلات!$H$56="سنوي",MOD(B266,12)=0),المدخلات!$J$56,IF(AND(المدخلات!$H$56="القسط (الدفعة) الاول",B266=1),المدخلات!$J$56,IF(المدخلات!$H$56="شهري",المدخلات!$J$56,""))),"")</f>
        <v/>
      </c>
      <c r="M266" s="6" t="str">
        <f>IF(B266&lt;&gt;"",IF(AND(المدخلات!$H$57="سنوي",MOD(B266,12)=0),المدخلات!$J$57,IF(AND(المدخلات!$H$57="القسط (الدفعة) الاول",B266=1),المدخلات!$J$57,IF(المدخلات!$H$57="شهري",المدخلات!$J$57,""))),"")</f>
        <v/>
      </c>
      <c r="N266" s="6" t="str">
        <f>IF(B266&lt;&gt;"",IF(AND(المدخلات!$H$58="سنوي",MOD(B266,12)=0),المدخلات!$J$58,IF(AND(المدخلات!$H$58="القسط (الدفعة) الاول",B266=1),المدخلات!$J$58,IF(المدخلات!$H$58="شهري",المدخلات!$J$58,IF(AND(المدخلات!$H$58="End of the loan",B266=المدخلات!$E$58),المدخلات!$J$58,"")))),"")</f>
        <v/>
      </c>
      <c r="O266" s="6" t="str">
        <f t="shared" si="30"/>
        <v/>
      </c>
      <c r="P266" s="4" t="str">
        <f t="shared" si="31"/>
        <v/>
      </c>
      <c r="T266" s="9" t="str">
        <f t="shared" si="32"/>
        <v/>
      </c>
      <c r="U266" s="5" t="str">
        <f t="shared" si="33"/>
        <v xml:space="preserve"> </v>
      </c>
    </row>
    <row r="267" spans="2:21" x14ac:dyDescent="0.2">
      <c r="B267" s="16" t="str">
        <f t="shared" si="36"/>
        <v/>
      </c>
      <c r="C267" s="9" t="str">
        <f t="shared" si="37"/>
        <v/>
      </c>
      <c r="D267" s="6" t="str">
        <f>IFERROR((PPMT(المدخلات!$E$55/12,B267,$C$6,المدخلات!$E$54,-المدخلات!$E$65,0))," ")</f>
        <v xml:space="preserve"> </v>
      </c>
      <c r="E267" s="6" t="str">
        <f>IFERROR(((IPMT(المدخلات!$E$55/12,B267,$C$6,المدخلات!$E$54,-المدخلات!$E$65,0)))," ")</f>
        <v xml:space="preserve"> </v>
      </c>
      <c r="F267" s="6" t="str">
        <f t="shared" si="39"/>
        <v/>
      </c>
      <c r="G267" s="6" t="str">
        <f t="shared" si="38"/>
        <v/>
      </c>
      <c r="H267" s="6" t="str">
        <f t="shared" si="34"/>
        <v/>
      </c>
      <c r="I267" s="6" t="str">
        <f t="shared" si="35"/>
        <v/>
      </c>
      <c r="J267" s="6" t="str">
        <f>IF(B267&lt;&gt;"",IF(AND(المدخلات!$H$54="سنوي",MOD(B267,12)=0),المدخلات!$J$54,IF(AND(المدخلات!$H$54="القسط (الدفعة) الاول",B267=1),المدخلات!$J$54,IF(المدخلات!$H$54="شهري",المدخلات!$J$54,""))),"")</f>
        <v/>
      </c>
      <c r="K267" s="6" t="str">
        <f>IF(B267&lt;&gt;"",IF(AND(المدخلات!$H$55="سنوي",MOD(B267,12)=0),المدخلات!$J$55,IF(AND(المدخلات!$H$55="القسط (الدفعة) الاول",B267=1),المدخلات!$J$55,IF(المدخلات!$H$55="شهري",المدخلات!$J$55,""))),"")</f>
        <v/>
      </c>
      <c r="L267" s="6" t="str">
        <f>IF(B267&lt;&gt;"",IF(AND(المدخلات!$H$56="سنوي",MOD(B267,12)=0),المدخلات!$J$56,IF(AND(المدخلات!$H$56="القسط (الدفعة) الاول",B267=1),المدخلات!$J$56,IF(المدخلات!$H$56="شهري",المدخلات!$J$56,""))),"")</f>
        <v/>
      </c>
      <c r="M267" s="6" t="str">
        <f>IF(B267&lt;&gt;"",IF(AND(المدخلات!$H$57="سنوي",MOD(B267,12)=0),المدخلات!$J$57,IF(AND(المدخلات!$H$57="القسط (الدفعة) الاول",B267=1),المدخلات!$J$57,IF(المدخلات!$H$57="شهري",المدخلات!$J$57,""))),"")</f>
        <v/>
      </c>
      <c r="N267" s="6" t="str">
        <f>IF(B267&lt;&gt;"",IF(AND(المدخلات!$H$58="سنوي",MOD(B267,12)=0),المدخلات!$J$58,IF(AND(المدخلات!$H$58="القسط (الدفعة) الاول",B267=1),المدخلات!$J$58,IF(المدخلات!$H$58="شهري",المدخلات!$J$58,IF(AND(المدخلات!$H$58="End of the loan",B267=المدخلات!$E$58),المدخلات!$J$58,"")))),"")</f>
        <v/>
      </c>
      <c r="O267" s="6" t="str">
        <f t="shared" si="30"/>
        <v/>
      </c>
      <c r="P267" s="4" t="str">
        <f t="shared" si="31"/>
        <v/>
      </c>
      <c r="T267" s="9" t="str">
        <f t="shared" si="32"/>
        <v/>
      </c>
      <c r="U267" s="5" t="str">
        <f t="shared" si="33"/>
        <v xml:space="preserve"> </v>
      </c>
    </row>
    <row r="268" spans="2:21" x14ac:dyDescent="0.2">
      <c r="B268" s="16" t="str">
        <f t="shared" si="36"/>
        <v/>
      </c>
      <c r="C268" s="9" t="str">
        <f t="shared" si="37"/>
        <v/>
      </c>
      <c r="D268" s="6" t="str">
        <f>IFERROR((PPMT(المدخلات!$E$55/12,B268,$C$6,المدخلات!$E$54,-المدخلات!$E$65,0))," ")</f>
        <v xml:space="preserve"> </v>
      </c>
      <c r="E268" s="6" t="str">
        <f>IFERROR(((IPMT(المدخلات!$E$55/12,B268,$C$6,المدخلات!$E$54,-المدخلات!$E$65,0)))," ")</f>
        <v xml:space="preserve"> </v>
      </c>
      <c r="F268" s="6" t="str">
        <f t="shared" si="39"/>
        <v/>
      </c>
      <c r="G268" s="6" t="str">
        <f t="shared" si="38"/>
        <v/>
      </c>
      <c r="H268" s="6" t="str">
        <f t="shared" si="34"/>
        <v/>
      </c>
      <c r="I268" s="6" t="str">
        <f t="shared" si="35"/>
        <v/>
      </c>
      <c r="J268" s="6" t="str">
        <f>IF(B268&lt;&gt;"",IF(AND(المدخلات!$H$54="سنوي",MOD(B268,12)=0),المدخلات!$J$54,IF(AND(المدخلات!$H$54="القسط (الدفعة) الاول",B268=1),المدخلات!$J$54,IF(المدخلات!$H$54="شهري",المدخلات!$J$54,""))),"")</f>
        <v/>
      </c>
      <c r="K268" s="6" t="str">
        <f>IF(B268&lt;&gt;"",IF(AND(المدخلات!$H$55="سنوي",MOD(B268,12)=0),المدخلات!$J$55,IF(AND(المدخلات!$H$55="القسط (الدفعة) الاول",B268=1),المدخلات!$J$55,IF(المدخلات!$H$55="شهري",المدخلات!$J$55,""))),"")</f>
        <v/>
      </c>
      <c r="L268" s="6" t="str">
        <f>IF(B268&lt;&gt;"",IF(AND(المدخلات!$H$56="سنوي",MOD(B268,12)=0),المدخلات!$J$56,IF(AND(المدخلات!$H$56="القسط (الدفعة) الاول",B268=1),المدخلات!$J$56,IF(المدخلات!$H$56="شهري",المدخلات!$J$56,""))),"")</f>
        <v/>
      </c>
      <c r="M268" s="6" t="str">
        <f>IF(B268&lt;&gt;"",IF(AND(المدخلات!$H$57="سنوي",MOD(B268,12)=0),المدخلات!$J$57,IF(AND(المدخلات!$H$57="القسط (الدفعة) الاول",B268=1),المدخلات!$J$57,IF(المدخلات!$H$57="شهري",المدخلات!$J$57,""))),"")</f>
        <v/>
      </c>
      <c r="N268" s="6" t="str">
        <f>IF(B268&lt;&gt;"",IF(AND(المدخلات!$H$58="سنوي",MOD(B268,12)=0),المدخلات!$J$58,IF(AND(المدخلات!$H$58="القسط (الدفعة) الاول",B268=1),المدخلات!$J$58,IF(المدخلات!$H$58="شهري",المدخلات!$J$58,IF(AND(المدخلات!$H$58="End of the loan",B268=المدخلات!$E$58),المدخلات!$J$58,"")))),"")</f>
        <v/>
      </c>
      <c r="O268" s="6" t="str">
        <f t="shared" si="30"/>
        <v/>
      </c>
      <c r="P268" s="4" t="str">
        <f t="shared" si="31"/>
        <v/>
      </c>
      <c r="T268" s="9" t="str">
        <f t="shared" si="32"/>
        <v/>
      </c>
      <c r="U268" s="5" t="str">
        <f t="shared" si="33"/>
        <v xml:space="preserve"> </v>
      </c>
    </row>
    <row r="269" spans="2:21" x14ac:dyDescent="0.2">
      <c r="B269" s="16" t="str">
        <f t="shared" si="36"/>
        <v/>
      </c>
      <c r="C269" s="9" t="str">
        <f t="shared" si="37"/>
        <v/>
      </c>
      <c r="D269" s="6" t="str">
        <f>IFERROR((PPMT(المدخلات!$E$55/12,B269,$C$6,المدخلات!$E$54,-المدخلات!$E$65,0))," ")</f>
        <v xml:space="preserve"> </v>
      </c>
      <c r="E269" s="6" t="str">
        <f>IFERROR(((IPMT(المدخلات!$E$55/12,B269,$C$6,المدخلات!$E$54,-المدخلات!$E$65,0)))," ")</f>
        <v xml:space="preserve"> </v>
      </c>
      <c r="F269" s="6" t="str">
        <f t="shared" si="39"/>
        <v/>
      </c>
      <c r="G269" s="6" t="str">
        <f t="shared" si="38"/>
        <v/>
      </c>
      <c r="H269" s="6" t="str">
        <f t="shared" si="34"/>
        <v/>
      </c>
      <c r="I269" s="6" t="str">
        <f t="shared" si="35"/>
        <v/>
      </c>
      <c r="J269" s="6" t="str">
        <f>IF(B269&lt;&gt;"",IF(AND(المدخلات!$H$54="سنوي",MOD(B269,12)=0),المدخلات!$J$54,IF(AND(المدخلات!$H$54="القسط (الدفعة) الاول",B269=1),المدخلات!$J$54,IF(المدخلات!$H$54="شهري",المدخلات!$J$54,""))),"")</f>
        <v/>
      </c>
      <c r="K269" s="6" t="str">
        <f>IF(B269&lt;&gt;"",IF(AND(المدخلات!$H$55="سنوي",MOD(B269,12)=0),المدخلات!$J$55,IF(AND(المدخلات!$H$55="القسط (الدفعة) الاول",B269=1),المدخلات!$J$55,IF(المدخلات!$H$55="شهري",المدخلات!$J$55,""))),"")</f>
        <v/>
      </c>
      <c r="L269" s="6" t="str">
        <f>IF(B269&lt;&gt;"",IF(AND(المدخلات!$H$56="سنوي",MOD(B269,12)=0),المدخلات!$J$56,IF(AND(المدخلات!$H$56="القسط (الدفعة) الاول",B269=1),المدخلات!$J$56,IF(المدخلات!$H$56="شهري",المدخلات!$J$56,""))),"")</f>
        <v/>
      </c>
      <c r="M269" s="6" t="str">
        <f>IF(B269&lt;&gt;"",IF(AND(المدخلات!$H$57="سنوي",MOD(B269,12)=0),المدخلات!$J$57,IF(AND(المدخلات!$H$57="القسط (الدفعة) الاول",B269=1),المدخلات!$J$57,IF(المدخلات!$H$57="شهري",المدخلات!$J$57,""))),"")</f>
        <v/>
      </c>
      <c r="N269" s="6" t="str">
        <f>IF(B269&lt;&gt;"",IF(AND(المدخلات!$H$58="سنوي",MOD(B269,12)=0),المدخلات!$J$58,IF(AND(المدخلات!$H$58="القسط (الدفعة) الاول",B269=1),المدخلات!$J$58,IF(المدخلات!$H$58="شهري",المدخلات!$J$58,IF(AND(المدخلات!$H$58="End of the loan",B269=المدخلات!$E$58),المدخلات!$J$58,"")))),"")</f>
        <v/>
      </c>
      <c r="O269" s="6" t="str">
        <f t="shared" si="30"/>
        <v/>
      </c>
      <c r="P269" s="4" t="str">
        <f t="shared" si="31"/>
        <v/>
      </c>
      <c r="T269" s="9" t="str">
        <f t="shared" si="32"/>
        <v/>
      </c>
      <c r="U269" s="5" t="str">
        <f t="shared" si="33"/>
        <v xml:space="preserve"> </v>
      </c>
    </row>
    <row r="270" spans="2:21" x14ac:dyDescent="0.2">
      <c r="B270" s="16" t="str">
        <f t="shared" si="36"/>
        <v/>
      </c>
      <c r="C270" s="9" t="str">
        <f t="shared" si="37"/>
        <v/>
      </c>
      <c r="D270" s="6" t="str">
        <f>IFERROR((PPMT(المدخلات!$E$55/12,B270,$C$6,المدخلات!$E$54,-المدخلات!$E$65,0))," ")</f>
        <v xml:space="preserve"> </v>
      </c>
      <c r="E270" s="6" t="str">
        <f>IFERROR(((IPMT(المدخلات!$E$55/12,B270,$C$6,المدخلات!$E$54,-المدخلات!$E$65,0)))," ")</f>
        <v xml:space="preserve"> </v>
      </c>
      <c r="F270" s="6" t="str">
        <f t="shared" si="39"/>
        <v/>
      </c>
      <c r="G270" s="6" t="str">
        <f t="shared" si="38"/>
        <v/>
      </c>
      <c r="H270" s="6" t="str">
        <f t="shared" si="34"/>
        <v/>
      </c>
      <c r="I270" s="6" t="str">
        <f t="shared" si="35"/>
        <v/>
      </c>
      <c r="J270" s="6" t="str">
        <f>IF(B270&lt;&gt;"",IF(AND(المدخلات!$H$54="سنوي",MOD(B270,12)=0),المدخلات!$J$54,IF(AND(المدخلات!$H$54="القسط (الدفعة) الاول",B270=1),المدخلات!$J$54,IF(المدخلات!$H$54="شهري",المدخلات!$J$54,""))),"")</f>
        <v/>
      </c>
      <c r="K270" s="6" t="str">
        <f>IF(B270&lt;&gt;"",IF(AND(المدخلات!$H$55="سنوي",MOD(B270,12)=0),المدخلات!$J$55,IF(AND(المدخلات!$H$55="القسط (الدفعة) الاول",B270=1),المدخلات!$J$55,IF(المدخلات!$H$55="شهري",المدخلات!$J$55,""))),"")</f>
        <v/>
      </c>
      <c r="L270" s="6" t="str">
        <f>IF(B270&lt;&gt;"",IF(AND(المدخلات!$H$56="سنوي",MOD(B270,12)=0),المدخلات!$J$56,IF(AND(المدخلات!$H$56="القسط (الدفعة) الاول",B270=1),المدخلات!$J$56,IF(المدخلات!$H$56="شهري",المدخلات!$J$56,""))),"")</f>
        <v/>
      </c>
      <c r="M270" s="6" t="str">
        <f>IF(B270&lt;&gt;"",IF(AND(المدخلات!$H$57="سنوي",MOD(B270,12)=0),المدخلات!$J$57,IF(AND(المدخلات!$H$57="القسط (الدفعة) الاول",B270=1),المدخلات!$J$57,IF(المدخلات!$H$57="شهري",المدخلات!$J$57,""))),"")</f>
        <v/>
      </c>
      <c r="N270" s="6" t="str">
        <f>IF(B270&lt;&gt;"",IF(AND(المدخلات!$H$58="سنوي",MOD(B270,12)=0),المدخلات!$J$58,IF(AND(المدخلات!$H$58="القسط (الدفعة) الاول",B270=1),المدخلات!$J$58,IF(المدخلات!$H$58="شهري",المدخلات!$J$58,IF(AND(المدخلات!$H$58="End of the loan",B270=المدخلات!$E$58),المدخلات!$J$58,"")))),"")</f>
        <v/>
      </c>
      <c r="O270" s="6" t="str">
        <f t="shared" si="30"/>
        <v/>
      </c>
      <c r="P270" s="4" t="str">
        <f t="shared" si="31"/>
        <v/>
      </c>
      <c r="T270" s="9" t="str">
        <f t="shared" si="32"/>
        <v/>
      </c>
      <c r="U270" s="5" t="str">
        <f t="shared" si="33"/>
        <v xml:space="preserve"> </v>
      </c>
    </row>
    <row r="271" spans="2:21" x14ac:dyDescent="0.2">
      <c r="B271" s="16" t="str">
        <f t="shared" si="36"/>
        <v/>
      </c>
      <c r="C271" s="9" t="str">
        <f t="shared" si="37"/>
        <v/>
      </c>
      <c r="D271" s="6" t="str">
        <f>IFERROR((PPMT(المدخلات!$E$55/12,B271,$C$6,المدخلات!$E$54,-المدخلات!$E$65,0))," ")</f>
        <v xml:space="preserve"> </v>
      </c>
      <c r="E271" s="6" t="str">
        <f>IFERROR(((IPMT(المدخلات!$E$55/12,B271,$C$6,المدخلات!$E$54,-المدخلات!$E$65,0)))," ")</f>
        <v xml:space="preserve"> </v>
      </c>
      <c r="F271" s="6" t="str">
        <f t="shared" si="39"/>
        <v/>
      </c>
      <c r="G271" s="6" t="str">
        <f t="shared" si="38"/>
        <v/>
      </c>
      <c r="H271" s="6" t="str">
        <f t="shared" si="34"/>
        <v/>
      </c>
      <c r="I271" s="6" t="str">
        <f t="shared" si="35"/>
        <v/>
      </c>
      <c r="J271" s="6" t="str">
        <f>IF(B271&lt;&gt;"",IF(AND(المدخلات!$H$54="سنوي",MOD(B271,12)=0),المدخلات!$J$54,IF(AND(المدخلات!$H$54="القسط (الدفعة) الاول",B271=1),المدخلات!$J$54,IF(المدخلات!$H$54="شهري",المدخلات!$J$54,""))),"")</f>
        <v/>
      </c>
      <c r="K271" s="6" t="str">
        <f>IF(B271&lt;&gt;"",IF(AND(المدخلات!$H$55="سنوي",MOD(B271,12)=0),المدخلات!$J$55,IF(AND(المدخلات!$H$55="القسط (الدفعة) الاول",B271=1),المدخلات!$J$55,IF(المدخلات!$H$55="شهري",المدخلات!$J$55,""))),"")</f>
        <v/>
      </c>
      <c r="L271" s="6" t="str">
        <f>IF(B271&lt;&gt;"",IF(AND(المدخلات!$H$56="سنوي",MOD(B271,12)=0),المدخلات!$J$56,IF(AND(المدخلات!$H$56="القسط (الدفعة) الاول",B271=1),المدخلات!$J$56,IF(المدخلات!$H$56="شهري",المدخلات!$J$56,""))),"")</f>
        <v/>
      </c>
      <c r="M271" s="6" t="str">
        <f>IF(B271&lt;&gt;"",IF(AND(المدخلات!$H$57="سنوي",MOD(B271,12)=0),المدخلات!$J$57,IF(AND(المدخلات!$H$57="القسط (الدفعة) الاول",B271=1),المدخلات!$J$57,IF(المدخلات!$H$57="شهري",المدخلات!$J$57,""))),"")</f>
        <v/>
      </c>
      <c r="N271" s="6" t="str">
        <f>IF(B271&lt;&gt;"",IF(AND(المدخلات!$H$58="سنوي",MOD(B271,12)=0),المدخلات!$J$58,IF(AND(المدخلات!$H$58="القسط (الدفعة) الاول",B271=1),المدخلات!$J$58,IF(المدخلات!$H$58="شهري",المدخلات!$J$58,IF(AND(المدخلات!$H$58="End of the loan",B271=المدخلات!$E$58),المدخلات!$J$58,"")))),"")</f>
        <v/>
      </c>
      <c r="O271" s="6" t="str">
        <f t="shared" si="30"/>
        <v/>
      </c>
      <c r="P271" s="4" t="str">
        <f t="shared" si="31"/>
        <v/>
      </c>
      <c r="T271" s="9" t="str">
        <f t="shared" si="32"/>
        <v/>
      </c>
      <c r="U271" s="5" t="str">
        <f t="shared" si="33"/>
        <v xml:space="preserve"> </v>
      </c>
    </row>
    <row r="272" spans="2:21" x14ac:dyDescent="0.2">
      <c r="B272" s="16" t="str">
        <f t="shared" si="36"/>
        <v/>
      </c>
      <c r="C272" s="9" t="str">
        <f t="shared" si="37"/>
        <v/>
      </c>
      <c r="D272" s="6" t="str">
        <f>IFERROR((PPMT(المدخلات!$E$55/12,B272,$C$6,المدخلات!$E$54,-المدخلات!$E$65,0))," ")</f>
        <v xml:space="preserve"> </v>
      </c>
      <c r="E272" s="6" t="str">
        <f>IFERROR(((IPMT(المدخلات!$E$55/12,B272,$C$6,المدخلات!$E$54,-المدخلات!$E$65,0)))," ")</f>
        <v xml:space="preserve"> </v>
      </c>
      <c r="F272" s="6" t="str">
        <f t="shared" si="39"/>
        <v/>
      </c>
      <c r="G272" s="6" t="str">
        <f t="shared" si="38"/>
        <v/>
      </c>
      <c r="H272" s="6" t="str">
        <f t="shared" si="34"/>
        <v/>
      </c>
      <c r="I272" s="6" t="str">
        <f t="shared" si="35"/>
        <v/>
      </c>
      <c r="J272" s="6" t="str">
        <f>IF(B272&lt;&gt;"",IF(AND(المدخلات!$H$54="سنوي",MOD(B272,12)=0),المدخلات!$J$54,IF(AND(المدخلات!$H$54="القسط (الدفعة) الاول",B272=1),المدخلات!$J$54,IF(المدخلات!$H$54="شهري",المدخلات!$J$54,""))),"")</f>
        <v/>
      </c>
      <c r="K272" s="6" t="str">
        <f>IF(B272&lt;&gt;"",IF(AND(المدخلات!$H$55="سنوي",MOD(B272,12)=0),المدخلات!$J$55,IF(AND(المدخلات!$H$55="القسط (الدفعة) الاول",B272=1),المدخلات!$J$55,IF(المدخلات!$H$55="شهري",المدخلات!$J$55,""))),"")</f>
        <v/>
      </c>
      <c r="L272" s="6" t="str">
        <f>IF(B272&lt;&gt;"",IF(AND(المدخلات!$H$56="سنوي",MOD(B272,12)=0),المدخلات!$J$56,IF(AND(المدخلات!$H$56="القسط (الدفعة) الاول",B272=1),المدخلات!$J$56,IF(المدخلات!$H$56="شهري",المدخلات!$J$56,""))),"")</f>
        <v/>
      </c>
      <c r="M272" s="6" t="str">
        <f>IF(B272&lt;&gt;"",IF(AND(المدخلات!$H$57="سنوي",MOD(B272,12)=0),المدخلات!$J$57,IF(AND(المدخلات!$H$57="القسط (الدفعة) الاول",B272=1),المدخلات!$J$57,IF(المدخلات!$H$57="شهري",المدخلات!$J$57,""))),"")</f>
        <v/>
      </c>
      <c r="N272" s="6" t="str">
        <f>IF(B272&lt;&gt;"",IF(AND(المدخلات!$H$58="سنوي",MOD(B272,12)=0),المدخلات!$J$58,IF(AND(المدخلات!$H$58="القسط (الدفعة) الاول",B272=1),المدخلات!$J$58,IF(المدخلات!$H$58="شهري",المدخلات!$J$58,IF(AND(المدخلات!$H$58="End of the loan",B272=المدخلات!$E$58),المدخلات!$J$58,"")))),"")</f>
        <v/>
      </c>
      <c r="O272" s="6" t="str">
        <f t="shared" si="30"/>
        <v/>
      </c>
      <c r="P272" s="4" t="str">
        <f t="shared" si="31"/>
        <v/>
      </c>
      <c r="T272" s="9" t="str">
        <f t="shared" si="32"/>
        <v/>
      </c>
      <c r="U272" s="5" t="str">
        <f t="shared" si="33"/>
        <v xml:space="preserve"> </v>
      </c>
    </row>
    <row r="273" spans="2:21" x14ac:dyDescent="0.2">
      <c r="B273" s="16" t="str">
        <f t="shared" si="36"/>
        <v/>
      </c>
      <c r="C273" s="9" t="str">
        <f t="shared" si="37"/>
        <v/>
      </c>
      <c r="D273" s="6" t="str">
        <f>IFERROR((PPMT(المدخلات!$E$55/12,B273,$C$6,المدخلات!$E$54,-المدخلات!$E$65,0))," ")</f>
        <v xml:space="preserve"> </v>
      </c>
      <c r="E273" s="6" t="str">
        <f>IFERROR(((IPMT(المدخلات!$E$55/12,B273,$C$6,المدخلات!$E$54,-المدخلات!$E$65,0)))," ")</f>
        <v xml:space="preserve"> </v>
      </c>
      <c r="F273" s="6" t="str">
        <f t="shared" si="39"/>
        <v/>
      </c>
      <c r="G273" s="6" t="str">
        <f t="shared" si="38"/>
        <v/>
      </c>
      <c r="H273" s="6" t="str">
        <f t="shared" si="34"/>
        <v/>
      </c>
      <c r="I273" s="6" t="str">
        <f t="shared" si="35"/>
        <v/>
      </c>
      <c r="J273" s="6" t="str">
        <f>IF(B273&lt;&gt;"",IF(AND(المدخلات!$H$54="سنوي",MOD(B273,12)=0),المدخلات!$J$54,IF(AND(المدخلات!$H$54="القسط (الدفعة) الاول",B273=1),المدخلات!$J$54,IF(المدخلات!$H$54="شهري",المدخلات!$J$54,""))),"")</f>
        <v/>
      </c>
      <c r="K273" s="6" t="str">
        <f>IF(B273&lt;&gt;"",IF(AND(المدخلات!$H$55="سنوي",MOD(B273,12)=0),المدخلات!$J$55,IF(AND(المدخلات!$H$55="القسط (الدفعة) الاول",B273=1),المدخلات!$J$55,IF(المدخلات!$H$55="شهري",المدخلات!$J$55,""))),"")</f>
        <v/>
      </c>
      <c r="L273" s="6" t="str">
        <f>IF(B273&lt;&gt;"",IF(AND(المدخلات!$H$56="سنوي",MOD(B273,12)=0),المدخلات!$J$56,IF(AND(المدخلات!$H$56="القسط (الدفعة) الاول",B273=1),المدخلات!$J$56,IF(المدخلات!$H$56="شهري",المدخلات!$J$56,""))),"")</f>
        <v/>
      </c>
      <c r="M273" s="6" t="str">
        <f>IF(B273&lt;&gt;"",IF(AND(المدخلات!$H$57="سنوي",MOD(B273,12)=0),المدخلات!$J$57,IF(AND(المدخلات!$H$57="القسط (الدفعة) الاول",B273=1),المدخلات!$J$57,IF(المدخلات!$H$57="شهري",المدخلات!$J$57,""))),"")</f>
        <v/>
      </c>
      <c r="N273" s="6" t="str">
        <f>IF(B273&lt;&gt;"",IF(AND(المدخلات!$H$58="سنوي",MOD(B273,12)=0),المدخلات!$J$58,IF(AND(المدخلات!$H$58="القسط (الدفعة) الاول",B273=1),المدخلات!$J$58,IF(المدخلات!$H$58="شهري",المدخلات!$J$58,IF(AND(المدخلات!$H$58="End of the loan",B273=المدخلات!$E$58),المدخلات!$J$58,"")))),"")</f>
        <v/>
      </c>
      <c r="O273" s="6" t="str">
        <f t="shared" ref="O273:O317" si="40">IF(B273&lt;&gt;"",SUM(J273:N273),"")</f>
        <v/>
      </c>
      <c r="P273" s="4" t="str">
        <f t="shared" ref="P273:P317" si="41">IF(B273&lt;&gt;"",(-H273+O273),"")</f>
        <v/>
      </c>
      <c r="T273" s="9" t="str">
        <f t="shared" si="32"/>
        <v/>
      </c>
      <c r="U273" s="5" t="str">
        <f t="shared" si="33"/>
        <v xml:space="preserve"> </v>
      </c>
    </row>
    <row r="274" spans="2:21" x14ac:dyDescent="0.2">
      <c r="B274" s="16" t="str">
        <f t="shared" si="36"/>
        <v/>
      </c>
      <c r="C274" s="9" t="str">
        <f t="shared" si="37"/>
        <v/>
      </c>
      <c r="D274" s="6" t="str">
        <f>IFERROR((PPMT(المدخلات!$E$55/12,B274,$C$6,المدخلات!$E$54,-المدخلات!$E$65,0))," ")</f>
        <v xml:space="preserve"> </v>
      </c>
      <c r="E274" s="6" t="str">
        <f>IFERROR(((IPMT(المدخلات!$E$55/12,B274,$C$6,المدخلات!$E$54,-المدخلات!$E$65,0)))," ")</f>
        <v xml:space="preserve"> </v>
      </c>
      <c r="F274" s="6" t="str">
        <f t="shared" si="39"/>
        <v/>
      </c>
      <c r="G274" s="6" t="str">
        <f t="shared" si="38"/>
        <v/>
      </c>
      <c r="H274" s="6" t="str">
        <f t="shared" si="34"/>
        <v/>
      </c>
      <c r="I274" s="6" t="str">
        <f t="shared" si="35"/>
        <v/>
      </c>
      <c r="J274" s="6" t="str">
        <f>IF(B274&lt;&gt;"",IF(AND(المدخلات!$H$54="سنوي",MOD(B274,12)=0),المدخلات!$J$54,IF(AND(المدخلات!$H$54="القسط (الدفعة) الاول",B274=1),المدخلات!$J$54,IF(المدخلات!$H$54="شهري",المدخلات!$J$54,""))),"")</f>
        <v/>
      </c>
      <c r="K274" s="6" t="str">
        <f>IF(B274&lt;&gt;"",IF(AND(المدخلات!$H$55="سنوي",MOD(B274,12)=0),المدخلات!$J$55,IF(AND(المدخلات!$H$55="القسط (الدفعة) الاول",B274=1),المدخلات!$J$55,IF(المدخلات!$H$55="شهري",المدخلات!$J$55,""))),"")</f>
        <v/>
      </c>
      <c r="L274" s="6" t="str">
        <f>IF(B274&lt;&gt;"",IF(AND(المدخلات!$H$56="سنوي",MOD(B274,12)=0),المدخلات!$J$56,IF(AND(المدخلات!$H$56="القسط (الدفعة) الاول",B274=1),المدخلات!$J$56,IF(المدخلات!$H$56="شهري",المدخلات!$J$56,""))),"")</f>
        <v/>
      </c>
      <c r="M274" s="6" t="str">
        <f>IF(B274&lt;&gt;"",IF(AND(المدخلات!$H$57="سنوي",MOD(B274,12)=0),المدخلات!$J$57,IF(AND(المدخلات!$H$57="القسط (الدفعة) الاول",B274=1),المدخلات!$J$57,IF(المدخلات!$H$57="شهري",المدخلات!$J$57,""))),"")</f>
        <v/>
      </c>
      <c r="N274" s="6" t="str">
        <f>IF(B274&lt;&gt;"",IF(AND(المدخلات!$H$58="سنوي",MOD(B274,12)=0),المدخلات!$J$58,IF(AND(المدخلات!$H$58="القسط (الدفعة) الاول",B274=1),المدخلات!$J$58,IF(المدخلات!$H$58="شهري",المدخلات!$J$58,IF(AND(المدخلات!$H$58="End of the loan",B274=المدخلات!$E$58),المدخلات!$J$58,"")))),"")</f>
        <v/>
      </c>
      <c r="O274" s="6" t="str">
        <f t="shared" si="40"/>
        <v/>
      </c>
      <c r="P274" s="4" t="str">
        <f t="shared" si="41"/>
        <v/>
      </c>
      <c r="T274" s="9" t="str">
        <f t="shared" ref="T274:T317" si="42">C274</f>
        <v/>
      </c>
      <c r="U274" s="5" t="str">
        <f t="shared" ref="U274:U317" si="43">IFERROR(ROUND(_xlfn.IFNA(VLOOKUP(T274,$C$18:$P$385,14,0),0),2)," ")</f>
        <v xml:space="preserve"> </v>
      </c>
    </row>
    <row r="275" spans="2:21" x14ac:dyDescent="0.2">
      <c r="B275" s="16" t="str">
        <f t="shared" si="36"/>
        <v/>
      </c>
      <c r="C275" s="9" t="str">
        <f t="shared" si="37"/>
        <v/>
      </c>
      <c r="D275" s="6" t="str">
        <f>IFERROR((PPMT(المدخلات!$E$55/12,B275,$C$6,المدخلات!$E$54,-المدخلات!$E$65,0))," ")</f>
        <v xml:space="preserve"> </v>
      </c>
      <c r="E275" s="6" t="str">
        <f>IFERROR(((IPMT(المدخلات!$E$55/12,B275,$C$6,المدخلات!$E$54,-المدخلات!$E$65,0)))," ")</f>
        <v xml:space="preserve"> </v>
      </c>
      <c r="F275" s="6" t="str">
        <f t="shared" si="39"/>
        <v/>
      </c>
      <c r="G275" s="6" t="str">
        <f t="shared" si="38"/>
        <v/>
      </c>
      <c r="H275" s="6" t="str">
        <f t="shared" ref="H275:H317" si="44">+IF(B275=$C$6,(-$C$13+IFERROR(D275+E275,"")),IFERROR(D275+E275,""))</f>
        <v/>
      </c>
      <c r="I275" s="6" t="str">
        <f t="shared" ref="I275:I317" si="45">+IFERROR($C$8+F275,"")</f>
        <v/>
      </c>
      <c r="J275" s="6" t="str">
        <f>IF(B275&lt;&gt;"",IF(AND(المدخلات!$H$54="سنوي",MOD(B275,12)=0),المدخلات!$J$54,IF(AND(المدخلات!$H$54="القسط (الدفعة) الاول",B275=1),المدخلات!$J$54,IF(المدخلات!$H$54="شهري",المدخلات!$J$54,""))),"")</f>
        <v/>
      </c>
      <c r="K275" s="6" t="str">
        <f>IF(B275&lt;&gt;"",IF(AND(المدخلات!$H$55="سنوي",MOD(B275,12)=0),المدخلات!$J$55,IF(AND(المدخلات!$H$55="القسط (الدفعة) الاول",B275=1),المدخلات!$J$55,IF(المدخلات!$H$55="شهري",المدخلات!$J$55,""))),"")</f>
        <v/>
      </c>
      <c r="L275" s="6" t="str">
        <f>IF(B275&lt;&gt;"",IF(AND(المدخلات!$H$56="سنوي",MOD(B275,12)=0),المدخلات!$J$56,IF(AND(المدخلات!$H$56="القسط (الدفعة) الاول",B275=1),المدخلات!$J$56,IF(المدخلات!$H$56="شهري",المدخلات!$J$56,""))),"")</f>
        <v/>
      </c>
      <c r="M275" s="6" t="str">
        <f>IF(B275&lt;&gt;"",IF(AND(المدخلات!$H$57="سنوي",MOD(B275,12)=0),المدخلات!$J$57,IF(AND(المدخلات!$H$57="القسط (الدفعة) الاول",B275=1),المدخلات!$J$57,IF(المدخلات!$H$57="شهري",المدخلات!$J$57,""))),"")</f>
        <v/>
      </c>
      <c r="N275" s="6" t="str">
        <f>IF(B275&lt;&gt;"",IF(AND(المدخلات!$H$58="سنوي",MOD(B275,12)=0),المدخلات!$J$58,IF(AND(المدخلات!$H$58="القسط (الدفعة) الاول",B275=1),المدخلات!$J$58,IF(المدخلات!$H$58="شهري",المدخلات!$J$58,IF(AND(المدخلات!$H$58="End of the loan",B275=المدخلات!$E$58),المدخلات!$J$58,"")))),"")</f>
        <v/>
      </c>
      <c r="O275" s="6" t="str">
        <f t="shared" si="40"/>
        <v/>
      </c>
      <c r="P275" s="4" t="str">
        <f t="shared" si="41"/>
        <v/>
      </c>
      <c r="T275" s="9" t="str">
        <f t="shared" si="42"/>
        <v/>
      </c>
      <c r="U275" s="5" t="str">
        <f t="shared" si="43"/>
        <v xml:space="preserve"> </v>
      </c>
    </row>
    <row r="276" spans="2:21" x14ac:dyDescent="0.2">
      <c r="B276" s="16" t="str">
        <f t="shared" ref="B276:B317" si="46">IF(B275="","",IF((B275+1)&lt;=$C$6,B275+1,""))</f>
        <v/>
      </c>
      <c r="C276" s="9" t="str">
        <f t="shared" ref="C276:C317" si="47">IF(B276="","",EDATE($C$18,(B276-1)))</f>
        <v/>
      </c>
      <c r="D276" s="6" t="str">
        <f>IFERROR((PPMT(المدخلات!$E$55/12,B276,$C$6,المدخلات!$E$54,-المدخلات!$E$65,0))," ")</f>
        <v xml:space="preserve"> </v>
      </c>
      <c r="E276" s="6" t="str">
        <f>IFERROR(((IPMT(المدخلات!$E$55/12,B276,$C$6,المدخلات!$E$54,-المدخلات!$E$65,0)))," ")</f>
        <v xml:space="preserve"> </v>
      </c>
      <c r="F276" s="6" t="str">
        <f t="shared" si="39"/>
        <v/>
      </c>
      <c r="G276" s="6" t="str">
        <f t="shared" ref="G276:G317" si="48">IF(B276&lt;=$C$6,G275+E276,"")</f>
        <v/>
      </c>
      <c r="H276" s="6" t="str">
        <f t="shared" si="44"/>
        <v/>
      </c>
      <c r="I276" s="6" t="str">
        <f t="shared" si="45"/>
        <v/>
      </c>
      <c r="J276" s="6" t="str">
        <f>IF(B276&lt;&gt;"",IF(AND(المدخلات!$H$54="سنوي",MOD(B276,12)=0),المدخلات!$J$54,IF(AND(المدخلات!$H$54="القسط (الدفعة) الاول",B276=1),المدخلات!$J$54,IF(المدخلات!$H$54="شهري",المدخلات!$J$54,""))),"")</f>
        <v/>
      </c>
      <c r="K276" s="6" t="str">
        <f>IF(B276&lt;&gt;"",IF(AND(المدخلات!$H$55="سنوي",MOD(B276,12)=0),المدخلات!$J$55,IF(AND(المدخلات!$H$55="القسط (الدفعة) الاول",B276=1),المدخلات!$J$55,IF(المدخلات!$H$55="شهري",المدخلات!$J$55,""))),"")</f>
        <v/>
      </c>
      <c r="L276" s="6" t="str">
        <f>IF(B276&lt;&gt;"",IF(AND(المدخلات!$H$56="سنوي",MOD(B276,12)=0),المدخلات!$J$56,IF(AND(المدخلات!$H$56="القسط (الدفعة) الاول",B276=1),المدخلات!$J$56,IF(المدخلات!$H$56="شهري",المدخلات!$J$56,""))),"")</f>
        <v/>
      </c>
      <c r="M276" s="6" t="str">
        <f>IF(B276&lt;&gt;"",IF(AND(المدخلات!$H$57="سنوي",MOD(B276,12)=0),المدخلات!$J$57,IF(AND(المدخلات!$H$57="القسط (الدفعة) الاول",B276=1),المدخلات!$J$57,IF(المدخلات!$H$57="شهري",المدخلات!$J$57,""))),"")</f>
        <v/>
      </c>
      <c r="N276" s="6" t="str">
        <f>IF(B276&lt;&gt;"",IF(AND(المدخلات!$H$58="سنوي",MOD(B276,12)=0),المدخلات!$J$58,IF(AND(المدخلات!$H$58="القسط (الدفعة) الاول",B276=1),المدخلات!$J$58,IF(المدخلات!$H$58="شهري",المدخلات!$J$58,IF(AND(المدخلات!$H$58="End of the loan",B276=المدخلات!$E$58),المدخلات!$J$58,"")))),"")</f>
        <v/>
      </c>
      <c r="O276" s="6" t="str">
        <f t="shared" si="40"/>
        <v/>
      </c>
      <c r="P276" s="4" t="str">
        <f t="shared" si="41"/>
        <v/>
      </c>
      <c r="T276" s="9" t="str">
        <f t="shared" si="42"/>
        <v/>
      </c>
      <c r="U276" s="5" t="str">
        <f t="shared" si="43"/>
        <v xml:space="preserve"> </v>
      </c>
    </row>
    <row r="277" spans="2:21" x14ac:dyDescent="0.2">
      <c r="B277" s="16" t="str">
        <f t="shared" si="46"/>
        <v/>
      </c>
      <c r="C277" s="9" t="str">
        <f t="shared" si="47"/>
        <v/>
      </c>
      <c r="D277" s="6" t="str">
        <f>IFERROR((PPMT(المدخلات!$E$55/12,B277,$C$6,المدخلات!$E$54,-المدخلات!$E$65,0))," ")</f>
        <v xml:space="preserve"> </v>
      </c>
      <c r="E277" s="6" t="str">
        <f>IFERROR(((IPMT(المدخلات!$E$55/12,B277,$C$6,المدخلات!$E$54,-المدخلات!$E$65,0)))," ")</f>
        <v xml:space="preserve"> </v>
      </c>
      <c r="F277" s="6" t="str">
        <f t="shared" ref="F277:F317" si="49">IF(B277&lt;=$C$6,F276+D277,"")</f>
        <v/>
      </c>
      <c r="G277" s="6" t="str">
        <f t="shared" si="48"/>
        <v/>
      </c>
      <c r="H277" s="6" t="str">
        <f t="shared" si="44"/>
        <v/>
      </c>
      <c r="I277" s="6" t="str">
        <f t="shared" si="45"/>
        <v/>
      </c>
      <c r="J277" s="6" t="str">
        <f>IF(B277&lt;&gt;"",IF(AND(المدخلات!$H$54="سنوي",MOD(B277,12)=0),المدخلات!$J$54,IF(AND(المدخلات!$H$54="القسط (الدفعة) الاول",B277=1),المدخلات!$J$54,IF(المدخلات!$H$54="شهري",المدخلات!$J$54,""))),"")</f>
        <v/>
      </c>
      <c r="K277" s="6" t="str">
        <f>IF(B277&lt;&gt;"",IF(AND(المدخلات!$H$55="سنوي",MOD(B277,12)=0),المدخلات!$J$55,IF(AND(المدخلات!$H$55="القسط (الدفعة) الاول",B277=1),المدخلات!$J$55,IF(المدخلات!$H$55="شهري",المدخلات!$J$55,""))),"")</f>
        <v/>
      </c>
      <c r="L277" s="6" t="str">
        <f>IF(B277&lt;&gt;"",IF(AND(المدخلات!$H$56="سنوي",MOD(B277,12)=0),المدخلات!$J$56,IF(AND(المدخلات!$H$56="القسط (الدفعة) الاول",B277=1),المدخلات!$J$56,IF(المدخلات!$H$56="شهري",المدخلات!$J$56,""))),"")</f>
        <v/>
      </c>
      <c r="M277" s="6" t="str">
        <f>IF(B277&lt;&gt;"",IF(AND(المدخلات!$H$57="سنوي",MOD(B277,12)=0),المدخلات!$J$57,IF(AND(المدخلات!$H$57="القسط (الدفعة) الاول",B277=1),المدخلات!$J$57,IF(المدخلات!$H$57="شهري",المدخلات!$J$57,""))),"")</f>
        <v/>
      </c>
      <c r="N277" s="6" t="str">
        <f>IF(B277&lt;&gt;"",IF(AND(المدخلات!$H$58="سنوي",MOD(B277,12)=0),المدخلات!$J$58,IF(AND(المدخلات!$H$58="القسط (الدفعة) الاول",B277=1),المدخلات!$J$58,IF(المدخلات!$H$58="شهري",المدخلات!$J$58,IF(AND(المدخلات!$H$58="End of the loan",B277=المدخلات!$E$58),المدخلات!$J$58,"")))),"")</f>
        <v/>
      </c>
      <c r="O277" s="6" t="str">
        <f t="shared" si="40"/>
        <v/>
      </c>
      <c r="P277" s="4" t="str">
        <f t="shared" si="41"/>
        <v/>
      </c>
      <c r="T277" s="9" t="str">
        <f t="shared" si="42"/>
        <v/>
      </c>
      <c r="U277" s="5" t="str">
        <f t="shared" si="43"/>
        <v xml:space="preserve"> </v>
      </c>
    </row>
    <row r="278" spans="2:21" x14ac:dyDescent="0.2">
      <c r="B278" s="16" t="str">
        <f t="shared" si="46"/>
        <v/>
      </c>
      <c r="C278" s="9" t="str">
        <f t="shared" si="47"/>
        <v/>
      </c>
      <c r="D278" s="6" t="str">
        <f>IFERROR((PPMT(المدخلات!$E$55/12,B278,$C$6,المدخلات!$E$54,-المدخلات!$E$65,0))," ")</f>
        <v xml:space="preserve"> </v>
      </c>
      <c r="E278" s="6" t="str">
        <f>IFERROR(((IPMT(المدخلات!$E$55/12,B278,$C$6,المدخلات!$E$54,-المدخلات!$E$65,0)))," ")</f>
        <v xml:space="preserve"> </v>
      </c>
      <c r="F278" s="6" t="str">
        <f t="shared" si="49"/>
        <v/>
      </c>
      <c r="G278" s="6" t="str">
        <f t="shared" si="48"/>
        <v/>
      </c>
      <c r="H278" s="6" t="str">
        <f t="shared" si="44"/>
        <v/>
      </c>
      <c r="I278" s="6" t="str">
        <f t="shared" si="45"/>
        <v/>
      </c>
      <c r="J278" s="6" t="str">
        <f>IF(B278&lt;&gt;"",IF(AND(المدخلات!$H$54="سنوي",MOD(B278,12)=0),المدخلات!$J$54,IF(AND(المدخلات!$H$54="القسط (الدفعة) الاول",B278=1),المدخلات!$J$54,IF(المدخلات!$H$54="شهري",المدخلات!$J$54,""))),"")</f>
        <v/>
      </c>
      <c r="K278" s="6" t="str">
        <f>IF(B278&lt;&gt;"",IF(AND(المدخلات!$H$55="سنوي",MOD(B278,12)=0),المدخلات!$J$55,IF(AND(المدخلات!$H$55="القسط (الدفعة) الاول",B278=1),المدخلات!$J$55,IF(المدخلات!$H$55="شهري",المدخلات!$J$55,""))),"")</f>
        <v/>
      </c>
      <c r="L278" s="6" t="str">
        <f>IF(B278&lt;&gt;"",IF(AND(المدخلات!$H$56="سنوي",MOD(B278,12)=0),المدخلات!$J$56,IF(AND(المدخلات!$H$56="القسط (الدفعة) الاول",B278=1),المدخلات!$J$56,IF(المدخلات!$H$56="شهري",المدخلات!$J$56,""))),"")</f>
        <v/>
      </c>
      <c r="M278" s="6" t="str">
        <f>IF(B278&lt;&gt;"",IF(AND(المدخلات!$H$57="سنوي",MOD(B278,12)=0),المدخلات!$J$57,IF(AND(المدخلات!$H$57="القسط (الدفعة) الاول",B278=1),المدخلات!$J$57,IF(المدخلات!$H$57="شهري",المدخلات!$J$57,""))),"")</f>
        <v/>
      </c>
      <c r="N278" s="6" t="str">
        <f>IF(B278&lt;&gt;"",IF(AND(المدخلات!$H$58="سنوي",MOD(B278,12)=0),المدخلات!$J$58,IF(AND(المدخلات!$H$58="القسط (الدفعة) الاول",B278=1),المدخلات!$J$58,IF(المدخلات!$H$58="شهري",المدخلات!$J$58,IF(AND(المدخلات!$H$58="End of the loan",B278=المدخلات!$E$58),المدخلات!$J$58,"")))),"")</f>
        <v/>
      </c>
      <c r="O278" s="6" t="str">
        <f t="shared" si="40"/>
        <v/>
      </c>
      <c r="P278" s="4" t="str">
        <f t="shared" si="41"/>
        <v/>
      </c>
      <c r="T278" s="9" t="str">
        <f t="shared" si="42"/>
        <v/>
      </c>
      <c r="U278" s="5" t="str">
        <f t="shared" si="43"/>
        <v xml:space="preserve"> </v>
      </c>
    </row>
    <row r="279" spans="2:21" x14ac:dyDescent="0.2">
      <c r="B279" s="16" t="str">
        <f t="shared" si="46"/>
        <v/>
      </c>
      <c r="C279" s="9" t="str">
        <f t="shared" si="47"/>
        <v/>
      </c>
      <c r="D279" s="6" t="str">
        <f>IFERROR((PPMT(المدخلات!$E$55/12,B279,$C$6,المدخلات!$E$54,-المدخلات!$E$65,0))," ")</f>
        <v xml:space="preserve"> </v>
      </c>
      <c r="E279" s="6" t="str">
        <f>IFERROR(((IPMT(المدخلات!$E$55/12,B279,$C$6,المدخلات!$E$54,-المدخلات!$E$65,0)))," ")</f>
        <v xml:space="preserve"> </v>
      </c>
      <c r="F279" s="6" t="str">
        <f t="shared" si="49"/>
        <v/>
      </c>
      <c r="G279" s="6" t="str">
        <f t="shared" si="48"/>
        <v/>
      </c>
      <c r="H279" s="6" t="str">
        <f t="shared" si="44"/>
        <v/>
      </c>
      <c r="I279" s="6" t="str">
        <f t="shared" si="45"/>
        <v/>
      </c>
      <c r="J279" s="6" t="str">
        <f>IF(B279&lt;&gt;"",IF(AND(المدخلات!$H$54="سنوي",MOD(B279,12)=0),المدخلات!$J$54,IF(AND(المدخلات!$H$54="القسط (الدفعة) الاول",B279=1),المدخلات!$J$54,IF(المدخلات!$H$54="شهري",المدخلات!$J$54,""))),"")</f>
        <v/>
      </c>
      <c r="K279" s="6" t="str">
        <f>IF(B279&lt;&gt;"",IF(AND(المدخلات!$H$55="سنوي",MOD(B279,12)=0),المدخلات!$J$55,IF(AND(المدخلات!$H$55="القسط (الدفعة) الاول",B279=1),المدخلات!$J$55,IF(المدخلات!$H$55="شهري",المدخلات!$J$55,""))),"")</f>
        <v/>
      </c>
      <c r="L279" s="6" t="str">
        <f>IF(B279&lt;&gt;"",IF(AND(المدخلات!$H$56="سنوي",MOD(B279,12)=0),المدخلات!$J$56,IF(AND(المدخلات!$H$56="القسط (الدفعة) الاول",B279=1),المدخلات!$J$56,IF(المدخلات!$H$56="شهري",المدخلات!$J$56,""))),"")</f>
        <v/>
      </c>
      <c r="M279" s="6" t="str">
        <f>IF(B279&lt;&gt;"",IF(AND(المدخلات!$H$57="سنوي",MOD(B279,12)=0),المدخلات!$J$57,IF(AND(المدخلات!$H$57="القسط (الدفعة) الاول",B279=1),المدخلات!$J$57,IF(المدخلات!$H$57="شهري",المدخلات!$J$57,""))),"")</f>
        <v/>
      </c>
      <c r="N279" s="6" t="str">
        <f>IF(B279&lt;&gt;"",IF(AND(المدخلات!$H$58="سنوي",MOD(B279,12)=0),المدخلات!$J$58,IF(AND(المدخلات!$H$58="القسط (الدفعة) الاول",B279=1),المدخلات!$J$58,IF(المدخلات!$H$58="شهري",المدخلات!$J$58,IF(AND(المدخلات!$H$58="End of the loan",B279=المدخلات!$E$58),المدخلات!$J$58,"")))),"")</f>
        <v/>
      </c>
      <c r="O279" s="6" t="str">
        <f t="shared" si="40"/>
        <v/>
      </c>
      <c r="P279" s="4" t="str">
        <f t="shared" si="41"/>
        <v/>
      </c>
      <c r="T279" s="9" t="str">
        <f t="shared" si="42"/>
        <v/>
      </c>
      <c r="U279" s="5" t="str">
        <f t="shared" si="43"/>
        <v xml:space="preserve"> </v>
      </c>
    </row>
    <row r="280" spans="2:21" x14ac:dyDescent="0.2">
      <c r="B280" s="16" t="str">
        <f t="shared" si="46"/>
        <v/>
      </c>
      <c r="C280" s="9" t="str">
        <f t="shared" si="47"/>
        <v/>
      </c>
      <c r="D280" s="6" t="str">
        <f>IFERROR((PPMT(المدخلات!$E$55/12,B280,$C$6,المدخلات!$E$54,-المدخلات!$E$65,0))," ")</f>
        <v xml:space="preserve"> </v>
      </c>
      <c r="E280" s="6" t="str">
        <f>IFERROR(((IPMT(المدخلات!$E$55/12,B280,$C$6,المدخلات!$E$54,-المدخلات!$E$65,0)))," ")</f>
        <v xml:space="preserve"> </v>
      </c>
      <c r="F280" s="6" t="str">
        <f t="shared" si="49"/>
        <v/>
      </c>
      <c r="G280" s="6" t="str">
        <f t="shared" si="48"/>
        <v/>
      </c>
      <c r="H280" s="6" t="str">
        <f t="shared" si="44"/>
        <v/>
      </c>
      <c r="I280" s="6" t="str">
        <f t="shared" si="45"/>
        <v/>
      </c>
      <c r="J280" s="6" t="str">
        <f>IF(B280&lt;&gt;"",IF(AND(المدخلات!$H$54="سنوي",MOD(B280,12)=0),المدخلات!$J$54,IF(AND(المدخلات!$H$54="القسط (الدفعة) الاول",B280=1),المدخلات!$J$54,IF(المدخلات!$H$54="شهري",المدخلات!$J$54,""))),"")</f>
        <v/>
      </c>
      <c r="K280" s="6" t="str">
        <f>IF(B280&lt;&gt;"",IF(AND(المدخلات!$H$55="سنوي",MOD(B280,12)=0),المدخلات!$J$55,IF(AND(المدخلات!$H$55="القسط (الدفعة) الاول",B280=1),المدخلات!$J$55,IF(المدخلات!$H$55="شهري",المدخلات!$J$55,""))),"")</f>
        <v/>
      </c>
      <c r="L280" s="6" t="str">
        <f>IF(B280&lt;&gt;"",IF(AND(المدخلات!$H$56="سنوي",MOD(B280,12)=0),المدخلات!$J$56,IF(AND(المدخلات!$H$56="القسط (الدفعة) الاول",B280=1),المدخلات!$J$56,IF(المدخلات!$H$56="شهري",المدخلات!$J$56,""))),"")</f>
        <v/>
      </c>
      <c r="M280" s="6" t="str">
        <f>IF(B280&lt;&gt;"",IF(AND(المدخلات!$H$57="سنوي",MOD(B280,12)=0),المدخلات!$J$57,IF(AND(المدخلات!$H$57="القسط (الدفعة) الاول",B280=1),المدخلات!$J$57,IF(المدخلات!$H$57="شهري",المدخلات!$J$57,""))),"")</f>
        <v/>
      </c>
      <c r="N280" s="6" t="str">
        <f>IF(B280&lt;&gt;"",IF(AND(المدخلات!$H$58="سنوي",MOD(B280,12)=0),المدخلات!$J$58,IF(AND(المدخلات!$H$58="القسط (الدفعة) الاول",B280=1),المدخلات!$J$58,IF(المدخلات!$H$58="شهري",المدخلات!$J$58,IF(AND(المدخلات!$H$58="End of the loan",B280=المدخلات!$E$58),المدخلات!$J$58,"")))),"")</f>
        <v/>
      </c>
      <c r="O280" s="6" t="str">
        <f t="shared" si="40"/>
        <v/>
      </c>
      <c r="P280" s="4" t="str">
        <f t="shared" si="41"/>
        <v/>
      </c>
      <c r="T280" s="9" t="str">
        <f t="shared" si="42"/>
        <v/>
      </c>
      <c r="U280" s="5" t="str">
        <f t="shared" si="43"/>
        <v xml:space="preserve"> </v>
      </c>
    </row>
    <row r="281" spans="2:21" x14ac:dyDescent="0.2">
      <c r="B281" s="16" t="str">
        <f t="shared" si="46"/>
        <v/>
      </c>
      <c r="C281" s="9" t="str">
        <f t="shared" si="47"/>
        <v/>
      </c>
      <c r="D281" s="6" t="str">
        <f>IFERROR((PPMT(المدخلات!$E$55/12,B281,$C$6,المدخلات!$E$54,-المدخلات!$E$65,0))," ")</f>
        <v xml:space="preserve"> </v>
      </c>
      <c r="E281" s="6" t="str">
        <f>IFERROR(((IPMT(المدخلات!$E$55/12,B281,$C$6,المدخلات!$E$54,-المدخلات!$E$65,0)))," ")</f>
        <v xml:space="preserve"> </v>
      </c>
      <c r="F281" s="6" t="str">
        <f t="shared" si="49"/>
        <v/>
      </c>
      <c r="G281" s="6" t="str">
        <f t="shared" si="48"/>
        <v/>
      </c>
      <c r="H281" s="6" t="str">
        <f t="shared" si="44"/>
        <v/>
      </c>
      <c r="I281" s="6" t="str">
        <f t="shared" si="45"/>
        <v/>
      </c>
      <c r="J281" s="6" t="str">
        <f>IF(B281&lt;&gt;"",IF(AND(المدخلات!$H$54="سنوي",MOD(B281,12)=0),المدخلات!$J$54,IF(AND(المدخلات!$H$54="القسط (الدفعة) الاول",B281=1),المدخلات!$J$54,IF(المدخلات!$H$54="شهري",المدخلات!$J$54,""))),"")</f>
        <v/>
      </c>
      <c r="K281" s="6" t="str">
        <f>IF(B281&lt;&gt;"",IF(AND(المدخلات!$H$55="سنوي",MOD(B281,12)=0),المدخلات!$J$55,IF(AND(المدخلات!$H$55="القسط (الدفعة) الاول",B281=1),المدخلات!$J$55,IF(المدخلات!$H$55="شهري",المدخلات!$J$55,""))),"")</f>
        <v/>
      </c>
      <c r="L281" s="6" t="str">
        <f>IF(B281&lt;&gt;"",IF(AND(المدخلات!$H$56="سنوي",MOD(B281,12)=0),المدخلات!$J$56,IF(AND(المدخلات!$H$56="القسط (الدفعة) الاول",B281=1),المدخلات!$J$56,IF(المدخلات!$H$56="شهري",المدخلات!$J$56,""))),"")</f>
        <v/>
      </c>
      <c r="M281" s="6" t="str">
        <f>IF(B281&lt;&gt;"",IF(AND(المدخلات!$H$57="سنوي",MOD(B281,12)=0),المدخلات!$J$57,IF(AND(المدخلات!$H$57="القسط (الدفعة) الاول",B281=1),المدخلات!$J$57,IF(المدخلات!$H$57="شهري",المدخلات!$J$57,""))),"")</f>
        <v/>
      </c>
      <c r="N281" s="6" t="str">
        <f>IF(B281&lt;&gt;"",IF(AND(المدخلات!$H$58="سنوي",MOD(B281,12)=0),المدخلات!$J$58,IF(AND(المدخلات!$H$58="القسط (الدفعة) الاول",B281=1),المدخلات!$J$58,IF(المدخلات!$H$58="شهري",المدخلات!$J$58,IF(AND(المدخلات!$H$58="End of the loan",B281=المدخلات!$E$58),المدخلات!$J$58,"")))),"")</f>
        <v/>
      </c>
      <c r="O281" s="6" t="str">
        <f t="shared" si="40"/>
        <v/>
      </c>
      <c r="P281" s="4" t="str">
        <f t="shared" si="41"/>
        <v/>
      </c>
      <c r="T281" s="9" t="str">
        <f t="shared" si="42"/>
        <v/>
      </c>
      <c r="U281" s="5" t="str">
        <f t="shared" si="43"/>
        <v xml:space="preserve"> </v>
      </c>
    </row>
    <row r="282" spans="2:21" x14ac:dyDescent="0.2">
      <c r="B282" s="16" t="str">
        <f t="shared" si="46"/>
        <v/>
      </c>
      <c r="C282" s="9" t="str">
        <f t="shared" si="47"/>
        <v/>
      </c>
      <c r="D282" s="6" t="str">
        <f>IFERROR((PPMT(المدخلات!$E$55/12,B282,$C$6,المدخلات!$E$54,-المدخلات!$E$65,0))," ")</f>
        <v xml:space="preserve"> </v>
      </c>
      <c r="E282" s="6" t="str">
        <f>IFERROR(((IPMT(المدخلات!$E$55/12,B282,$C$6,المدخلات!$E$54,-المدخلات!$E$65,0)))," ")</f>
        <v xml:space="preserve"> </v>
      </c>
      <c r="F282" s="6" t="str">
        <f t="shared" si="49"/>
        <v/>
      </c>
      <c r="G282" s="6" t="str">
        <f t="shared" si="48"/>
        <v/>
      </c>
      <c r="H282" s="6" t="str">
        <f t="shared" si="44"/>
        <v/>
      </c>
      <c r="I282" s="6" t="str">
        <f t="shared" si="45"/>
        <v/>
      </c>
      <c r="J282" s="6" t="str">
        <f>IF(B282&lt;&gt;"",IF(AND(المدخلات!$H$54="سنوي",MOD(B282,12)=0),المدخلات!$J$54,IF(AND(المدخلات!$H$54="القسط (الدفعة) الاول",B282=1),المدخلات!$J$54,IF(المدخلات!$H$54="شهري",المدخلات!$J$54,""))),"")</f>
        <v/>
      </c>
      <c r="K282" s="6" t="str">
        <f>IF(B282&lt;&gt;"",IF(AND(المدخلات!$H$55="سنوي",MOD(B282,12)=0),المدخلات!$J$55,IF(AND(المدخلات!$H$55="القسط (الدفعة) الاول",B282=1),المدخلات!$J$55,IF(المدخلات!$H$55="شهري",المدخلات!$J$55,""))),"")</f>
        <v/>
      </c>
      <c r="L282" s="6" t="str">
        <f>IF(B282&lt;&gt;"",IF(AND(المدخلات!$H$56="سنوي",MOD(B282,12)=0),المدخلات!$J$56,IF(AND(المدخلات!$H$56="القسط (الدفعة) الاول",B282=1),المدخلات!$J$56,IF(المدخلات!$H$56="شهري",المدخلات!$J$56,""))),"")</f>
        <v/>
      </c>
      <c r="M282" s="6" t="str">
        <f>IF(B282&lt;&gt;"",IF(AND(المدخلات!$H$57="سنوي",MOD(B282,12)=0),المدخلات!$J$57,IF(AND(المدخلات!$H$57="القسط (الدفعة) الاول",B282=1),المدخلات!$J$57,IF(المدخلات!$H$57="شهري",المدخلات!$J$57,""))),"")</f>
        <v/>
      </c>
      <c r="N282" s="6" t="str">
        <f>IF(B282&lt;&gt;"",IF(AND(المدخلات!$H$58="سنوي",MOD(B282,12)=0),المدخلات!$J$58,IF(AND(المدخلات!$H$58="القسط (الدفعة) الاول",B282=1),المدخلات!$J$58,IF(المدخلات!$H$58="شهري",المدخلات!$J$58,IF(AND(المدخلات!$H$58="End of the loan",B282=المدخلات!$E$58),المدخلات!$J$58,"")))),"")</f>
        <v/>
      </c>
      <c r="O282" s="6" t="str">
        <f t="shared" si="40"/>
        <v/>
      </c>
      <c r="P282" s="4" t="str">
        <f t="shared" si="41"/>
        <v/>
      </c>
      <c r="T282" s="9" t="str">
        <f t="shared" si="42"/>
        <v/>
      </c>
      <c r="U282" s="5" t="str">
        <f t="shared" si="43"/>
        <v xml:space="preserve"> </v>
      </c>
    </row>
    <row r="283" spans="2:21" x14ac:dyDescent="0.2">
      <c r="B283" s="16" t="str">
        <f t="shared" si="46"/>
        <v/>
      </c>
      <c r="C283" s="9" t="str">
        <f t="shared" si="47"/>
        <v/>
      </c>
      <c r="D283" s="6" t="str">
        <f>IFERROR((PPMT(المدخلات!$E$55/12,B283,$C$6,المدخلات!$E$54,-المدخلات!$E$65,0))," ")</f>
        <v xml:space="preserve"> </v>
      </c>
      <c r="E283" s="6" t="str">
        <f>IFERROR(((IPMT(المدخلات!$E$55/12,B283,$C$6,المدخلات!$E$54,-المدخلات!$E$65,0)))," ")</f>
        <v xml:space="preserve"> </v>
      </c>
      <c r="F283" s="6" t="str">
        <f t="shared" si="49"/>
        <v/>
      </c>
      <c r="G283" s="6" t="str">
        <f t="shared" si="48"/>
        <v/>
      </c>
      <c r="H283" s="6" t="str">
        <f t="shared" si="44"/>
        <v/>
      </c>
      <c r="I283" s="6" t="str">
        <f t="shared" si="45"/>
        <v/>
      </c>
      <c r="J283" s="6" t="str">
        <f>IF(B283&lt;&gt;"",IF(AND(المدخلات!$H$54="سنوي",MOD(B283,12)=0),المدخلات!$J$54,IF(AND(المدخلات!$H$54="القسط (الدفعة) الاول",B283=1),المدخلات!$J$54,IF(المدخلات!$H$54="شهري",المدخلات!$J$54,""))),"")</f>
        <v/>
      </c>
      <c r="K283" s="6" t="str">
        <f>IF(B283&lt;&gt;"",IF(AND(المدخلات!$H$55="سنوي",MOD(B283,12)=0),المدخلات!$J$55,IF(AND(المدخلات!$H$55="القسط (الدفعة) الاول",B283=1),المدخلات!$J$55,IF(المدخلات!$H$55="شهري",المدخلات!$J$55,""))),"")</f>
        <v/>
      </c>
      <c r="L283" s="6" t="str">
        <f>IF(B283&lt;&gt;"",IF(AND(المدخلات!$H$56="سنوي",MOD(B283,12)=0),المدخلات!$J$56,IF(AND(المدخلات!$H$56="القسط (الدفعة) الاول",B283=1),المدخلات!$J$56,IF(المدخلات!$H$56="شهري",المدخلات!$J$56,""))),"")</f>
        <v/>
      </c>
      <c r="M283" s="6" t="str">
        <f>IF(B283&lt;&gt;"",IF(AND(المدخلات!$H$57="سنوي",MOD(B283,12)=0),المدخلات!$J$57,IF(AND(المدخلات!$H$57="القسط (الدفعة) الاول",B283=1),المدخلات!$J$57,IF(المدخلات!$H$57="شهري",المدخلات!$J$57,""))),"")</f>
        <v/>
      </c>
      <c r="N283" s="6" t="str">
        <f>IF(B283&lt;&gt;"",IF(AND(المدخلات!$H$58="سنوي",MOD(B283,12)=0),المدخلات!$J$58,IF(AND(المدخلات!$H$58="القسط (الدفعة) الاول",B283=1),المدخلات!$J$58,IF(المدخلات!$H$58="شهري",المدخلات!$J$58,IF(AND(المدخلات!$H$58="End of the loan",B283=المدخلات!$E$58),المدخلات!$J$58,"")))),"")</f>
        <v/>
      </c>
      <c r="O283" s="6" t="str">
        <f t="shared" si="40"/>
        <v/>
      </c>
      <c r="P283" s="4" t="str">
        <f t="shared" si="41"/>
        <v/>
      </c>
      <c r="T283" s="9" t="str">
        <f t="shared" si="42"/>
        <v/>
      </c>
      <c r="U283" s="5" t="str">
        <f t="shared" si="43"/>
        <v xml:space="preserve"> </v>
      </c>
    </row>
    <row r="284" spans="2:21" x14ac:dyDescent="0.2">
      <c r="B284" s="16" t="str">
        <f t="shared" si="46"/>
        <v/>
      </c>
      <c r="C284" s="9" t="str">
        <f t="shared" si="47"/>
        <v/>
      </c>
      <c r="D284" s="6" t="str">
        <f>IFERROR((PPMT(المدخلات!$E$55/12,B284,$C$6,المدخلات!$E$54,-المدخلات!$E$65,0))," ")</f>
        <v xml:space="preserve"> </v>
      </c>
      <c r="E284" s="6" t="str">
        <f>IFERROR(((IPMT(المدخلات!$E$55/12,B284,$C$6,المدخلات!$E$54,-المدخلات!$E$65,0)))," ")</f>
        <v xml:space="preserve"> </v>
      </c>
      <c r="F284" s="6" t="str">
        <f t="shared" si="49"/>
        <v/>
      </c>
      <c r="G284" s="6" t="str">
        <f t="shared" si="48"/>
        <v/>
      </c>
      <c r="H284" s="6" t="str">
        <f t="shared" si="44"/>
        <v/>
      </c>
      <c r="I284" s="6" t="str">
        <f t="shared" si="45"/>
        <v/>
      </c>
      <c r="J284" s="6" t="str">
        <f>IF(B284&lt;&gt;"",IF(AND(المدخلات!$H$54="سنوي",MOD(B284,12)=0),المدخلات!$J$54,IF(AND(المدخلات!$H$54="القسط (الدفعة) الاول",B284=1),المدخلات!$J$54,IF(المدخلات!$H$54="شهري",المدخلات!$J$54,""))),"")</f>
        <v/>
      </c>
      <c r="K284" s="6" t="str">
        <f>IF(B284&lt;&gt;"",IF(AND(المدخلات!$H$55="سنوي",MOD(B284,12)=0),المدخلات!$J$55,IF(AND(المدخلات!$H$55="القسط (الدفعة) الاول",B284=1),المدخلات!$J$55,IF(المدخلات!$H$55="شهري",المدخلات!$J$55,""))),"")</f>
        <v/>
      </c>
      <c r="L284" s="6" t="str">
        <f>IF(B284&lt;&gt;"",IF(AND(المدخلات!$H$56="سنوي",MOD(B284,12)=0),المدخلات!$J$56,IF(AND(المدخلات!$H$56="القسط (الدفعة) الاول",B284=1),المدخلات!$J$56,IF(المدخلات!$H$56="شهري",المدخلات!$J$56,""))),"")</f>
        <v/>
      </c>
      <c r="M284" s="6" t="str">
        <f>IF(B284&lt;&gt;"",IF(AND(المدخلات!$H$57="سنوي",MOD(B284,12)=0),المدخلات!$J$57,IF(AND(المدخلات!$H$57="القسط (الدفعة) الاول",B284=1),المدخلات!$J$57,IF(المدخلات!$H$57="شهري",المدخلات!$J$57,""))),"")</f>
        <v/>
      </c>
      <c r="N284" s="6" t="str">
        <f>IF(B284&lt;&gt;"",IF(AND(المدخلات!$H$58="سنوي",MOD(B284,12)=0),المدخلات!$J$58,IF(AND(المدخلات!$H$58="القسط (الدفعة) الاول",B284=1),المدخلات!$J$58,IF(المدخلات!$H$58="شهري",المدخلات!$J$58,IF(AND(المدخلات!$H$58="End of the loan",B284=المدخلات!$E$58),المدخلات!$J$58,"")))),"")</f>
        <v/>
      </c>
      <c r="O284" s="6" t="str">
        <f t="shared" si="40"/>
        <v/>
      </c>
      <c r="P284" s="4" t="str">
        <f t="shared" si="41"/>
        <v/>
      </c>
      <c r="T284" s="9" t="str">
        <f t="shared" si="42"/>
        <v/>
      </c>
      <c r="U284" s="5" t="str">
        <f t="shared" si="43"/>
        <v xml:space="preserve"> </v>
      </c>
    </row>
    <row r="285" spans="2:21" x14ac:dyDescent="0.2">
      <c r="B285" s="16" t="str">
        <f t="shared" si="46"/>
        <v/>
      </c>
      <c r="C285" s="9" t="str">
        <f t="shared" si="47"/>
        <v/>
      </c>
      <c r="D285" s="6" t="str">
        <f>IFERROR((PPMT(المدخلات!$E$55/12,B285,$C$6,المدخلات!$E$54,-المدخلات!$E$65,0))," ")</f>
        <v xml:space="preserve"> </v>
      </c>
      <c r="E285" s="6" t="str">
        <f>IFERROR(((IPMT(المدخلات!$E$55/12,B285,$C$6,المدخلات!$E$54,-المدخلات!$E$65,0)))," ")</f>
        <v xml:space="preserve"> </v>
      </c>
      <c r="F285" s="6" t="str">
        <f t="shared" si="49"/>
        <v/>
      </c>
      <c r="G285" s="6" t="str">
        <f t="shared" si="48"/>
        <v/>
      </c>
      <c r="H285" s="6" t="str">
        <f t="shared" si="44"/>
        <v/>
      </c>
      <c r="I285" s="6" t="str">
        <f t="shared" si="45"/>
        <v/>
      </c>
      <c r="J285" s="6" t="str">
        <f>IF(B285&lt;&gt;"",IF(AND(المدخلات!$H$54="سنوي",MOD(B285,12)=0),المدخلات!$J$54,IF(AND(المدخلات!$H$54="القسط (الدفعة) الاول",B285=1),المدخلات!$J$54,IF(المدخلات!$H$54="شهري",المدخلات!$J$54,""))),"")</f>
        <v/>
      </c>
      <c r="K285" s="6" t="str">
        <f>IF(B285&lt;&gt;"",IF(AND(المدخلات!$H$55="سنوي",MOD(B285,12)=0),المدخلات!$J$55,IF(AND(المدخلات!$H$55="القسط (الدفعة) الاول",B285=1),المدخلات!$J$55,IF(المدخلات!$H$55="شهري",المدخلات!$J$55,""))),"")</f>
        <v/>
      </c>
      <c r="L285" s="6" t="str">
        <f>IF(B285&lt;&gt;"",IF(AND(المدخلات!$H$56="سنوي",MOD(B285,12)=0),المدخلات!$J$56,IF(AND(المدخلات!$H$56="القسط (الدفعة) الاول",B285=1),المدخلات!$J$56,IF(المدخلات!$H$56="شهري",المدخلات!$J$56,""))),"")</f>
        <v/>
      </c>
      <c r="M285" s="6" t="str">
        <f>IF(B285&lt;&gt;"",IF(AND(المدخلات!$H$57="سنوي",MOD(B285,12)=0),المدخلات!$J$57,IF(AND(المدخلات!$H$57="القسط (الدفعة) الاول",B285=1),المدخلات!$J$57,IF(المدخلات!$H$57="شهري",المدخلات!$J$57,""))),"")</f>
        <v/>
      </c>
      <c r="N285" s="6" t="str">
        <f>IF(B285&lt;&gt;"",IF(AND(المدخلات!$H$58="سنوي",MOD(B285,12)=0),المدخلات!$J$58,IF(AND(المدخلات!$H$58="القسط (الدفعة) الاول",B285=1),المدخلات!$J$58,IF(المدخلات!$H$58="شهري",المدخلات!$J$58,IF(AND(المدخلات!$H$58="End of the loan",B285=المدخلات!$E$58),المدخلات!$J$58,"")))),"")</f>
        <v/>
      </c>
      <c r="O285" s="6" t="str">
        <f t="shared" si="40"/>
        <v/>
      </c>
      <c r="P285" s="4" t="str">
        <f t="shared" si="41"/>
        <v/>
      </c>
      <c r="T285" s="9" t="str">
        <f t="shared" si="42"/>
        <v/>
      </c>
      <c r="U285" s="5" t="str">
        <f t="shared" si="43"/>
        <v xml:space="preserve"> </v>
      </c>
    </row>
    <row r="286" spans="2:21" x14ac:dyDescent="0.2">
      <c r="B286" s="16" t="str">
        <f t="shared" si="46"/>
        <v/>
      </c>
      <c r="C286" s="9" t="str">
        <f t="shared" si="47"/>
        <v/>
      </c>
      <c r="D286" s="6" t="str">
        <f>IFERROR((PPMT(المدخلات!$E$55/12,B286,$C$6,المدخلات!$E$54,-المدخلات!$E$65,0))," ")</f>
        <v xml:space="preserve"> </v>
      </c>
      <c r="E286" s="6" t="str">
        <f>IFERROR(((IPMT(المدخلات!$E$55/12,B286,$C$6,المدخلات!$E$54,-المدخلات!$E$65,0)))," ")</f>
        <v xml:space="preserve"> </v>
      </c>
      <c r="F286" s="6" t="str">
        <f t="shared" si="49"/>
        <v/>
      </c>
      <c r="G286" s="6" t="str">
        <f t="shared" si="48"/>
        <v/>
      </c>
      <c r="H286" s="6" t="str">
        <f t="shared" si="44"/>
        <v/>
      </c>
      <c r="I286" s="6" t="str">
        <f t="shared" si="45"/>
        <v/>
      </c>
      <c r="J286" s="6" t="str">
        <f>IF(B286&lt;&gt;"",IF(AND(المدخلات!$H$54="سنوي",MOD(B286,12)=0),المدخلات!$J$54,IF(AND(المدخلات!$H$54="القسط (الدفعة) الاول",B286=1),المدخلات!$J$54,IF(المدخلات!$H$54="شهري",المدخلات!$J$54,""))),"")</f>
        <v/>
      </c>
      <c r="K286" s="6" t="str">
        <f>IF(B286&lt;&gt;"",IF(AND(المدخلات!$H$55="سنوي",MOD(B286,12)=0),المدخلات!$J$55,IF(AND(المدخلات!$H$55="القسط (الدفعة) الاول",B286=1),المدخلات!$J$55,IF(المدخلات!$H$55="شهري",المدخلات!$J$55,""))),"")</f>
        <v/>
      </c>
      <c r="L286" s="6" t="str">
        <f>IF(B286&lt;&gt;"",IF(AND(المدخلات!$H$56="سنوي",MOD(B286,12)=0),المدخلات!$J$56,IF(AND(المدخلات!$H$56="القسط (الدفعة) الاول",B286=1),المدخلات!$J$56,IF(المدخلات!$H$56="شهري",المدخلات!$J$56,""))),"")</f>
        <v/>
      </c>
      <c r="M286" s="6" t="str">
        <f>IF(B286&lt;&gt;"",IF(AND(المدخلات!$H$57="سنوي",MOD(B286,12)=0),المدخلات!$J$57,IF(AND(المدخلات!$H$57="القسط (الدفعة) الاول",B286=1),المدخلات!$J$57,IF(المدخلات!$H$57="شهري",المدخلات!$J$57,""))),"")</f>
        <v/>
      </c>
      <c r="N286" s="6" t="str">
        <f>IF(B286&lt;&gt;"",IF(AND(المدخلات!$H$58="سنوي",MOD(B286,12)=0),المدخلات!$J$58,IF(AND(المدخلات!$H$58="القسط (الدفعة) الاول",B286=1),المدخلات!$J$58,IF(المدخلات!$H$58="شهري",المدخلات!$J$58,IF(AND(المدخلات!$H$58="End of the loan",B286=المدخلات!$E$58),المدخلات!$J$58,"")))),"")</f>
        <v/>
      </c>
      <c r="O286" s="6" t="str">
        <f t="shared" si="40"/>
        <v/>
      </c>
      <c r="P286" s="4" t="str">
        <f t="shared" si="41"/>
        <v/>
      </c>
      <c r="T286" s="9" t="str">
        <f t="shared" si="42"/>
        <v/>
      </c>
      <c r="U286" s="5" t="str">
        <f t="shared" si="43"/>
        <v xml:space="preserve"> </v>
      </c>
    </row>
    <row r="287" spans="2:21" x14ac:dyDescent="0.2">
      <c r="B287" s="16" t="str">
        <f t="shared" si="46"/>
        <v/>
      </c>
      <c r="C287" s="9" t="str">
        <f t="shared" si="47"/>
        <v/>
      </c>
      <c r="D287" s="6" t="str">
        <f>IFERROR((PPMT(المدخلات!$E$55/12,B287,$C$6,المدخلات!$E$54,-المدخلات!$E$65,0))," ")</f>
        <v xml:space="preserve"> </v>
      </c>
      <c r="E287" s="6" t="str">
        <f>IFERROR(((IPMT(المدخلات!$E$55/12,B287,$C$6,المدخلات!$E$54,-المدخلات!$E$65,0)))," ")</f>
        <v xml:space="preserve"> </v>
      </c>
      <c r="F287" s="6" t="str">
        <f t="shared" si="49"/>
        <v/>
      </c>
      <c r="G287" s="6" t="str">
        <f t="shared" si="48"/>
        <v/>
      </c>
      <c r="H287" s="6" t="str">
        <f t="shared" si="44"/>
        <v/>
      </c>
      <c r="I287" s="6" t="str">
        <f t="shared" si="45"/>
        <v/>
      </c>
      <c r="J287" s="6" t="str">
        <f>IF(B287&lt;&gt;"",IF(AND(المدخلات!$H$54="سنوي",MOD(B287,12)=0),المدخلات!$J$54,IF(AND(المدخلات!$H$54="القسط (الدفعة) الاول",B287=1),المدخلات!$J$54,IF(المدخلات!$H$54="شهري",المدخلات!$J$54,""))),"")</f>
        <v/>
      </c>
      <c r="K287" s="6" t="str">
        <f>IF(B287&lt;&gt;"",IF(AND(المدخلات!$H$55="سنوي",MOD(B287,12)=0),المدخلات!$J$55,IF(AND(المدخلات!$H$55="القسط (الدفعة) الاول",B287=1),المدخلات!$J$55,IF(المدخلات!$H$55="شهري",المدخلات!$J$55,""))),"")</f>
        <v/>
      </c>
      <c r="L287" s="6" t="str">
        <f>IF(B287&lt;&gt;"",IF(AND(المدخلات!$H$56="سنوي",MOD(B287,12)=0),المدخلات!$J$56,IF(AND(المدخلات!$H$56="القسط (الدفعة) الاول",B287=1),المدخلات!$J$56,IF(المدخلات!$H$56="شهري",المدخلات!$J$56,""))),"")</f>
        <v/>
      </c>
      <c r="M287" s="6" t="str">
        <f>IF(B287&lt;&gt;"",IF(AND(المدخلات!$H$57="سنوي",MOD(B287,12)=0),المدخلات!$J$57,IF(AND(المدخلات!$H$57="القسط (الدفعة) الاول",B287=1),المدخلات!$J$57,IF(المدخلات!$H$57="شهري",المدخلات!$J$57,""))),"")</f>
        <v/>
      </c>
      <c r="N287" s="6" t="str">
        <f>IF(B287&lt;&gt;"",IF(AND(المدخلات!$H$58="سنوي",MOD(B287,12)=0),المدخلات!$J$58,IF(AND(المدخلات!$H$58="القسط (الدفعة) الاول",B287=1),المدخلات!$J$58,IF(المدخلات!$H$58="شهري",المدخلات!$J$58,IF(AND(المدخلات!$H$58="End of the loan",B287=المدخلات!$E$58),المدخلات!$J$58,"")))),"")</f>
        <v/>
      </c>
      <c r="O287" s="6" t="str">
        <f t="shared" si="40"/>
        <v/>
      </c>
      <c r="P287" s="4" t="str">
        <f t="shared" si="41"/>
        <v/>
      </c>
      <c r="T287" s="9" t="str">
        <f t="shared" si="42"/>
        <v/>
      </c>
      <c r="U287" s="5" t="str">
        <f t="shared" si="43"/>
        <v xml:space="preserve"> </v>
      </c>
    </row>
    <row r="288" spans="2:21" x14ac:dyDescent="0.2">
      <c r="B288" s="16" t="str">
        <f t="shared" si="46"/>
        <v/>
      </c>
      <c r="C288" s="9" t="str">
        <f t="shared" si="47"/>
        <v/>
      </c>
      <c r="D288" s="6" t="str">
        <f>IFERROR((PPMT(المدخلات!$E$55/12,B288,$C$6,المدخلات!$E$54,-المدخلات!$E$65,0))," ")</f>
        <v xml:space="preserve"> </v>
      </c>
      <c r="E288" s="6" t="str">
        <f>IFERROR(((IPMT(المدخلات!$E$55/12,B288,$C$6,المدخلات!$E$54,-المدخلات!$E$65,0)))," ")</f>
        <v xml:space="preserve"> </v>
      </c>
      <c r="F288" s="6" t="str">
        <f t="shared" si="49"/>
        <v/>
      </c>
      <c r="G288" s="6" t="str">
        <f t="shared" si="48"/>
        <v/>
      </c>
      <c r="H288" s="6" t="str">
        <f t="shared" si="44"/>
        <v/>
      </c>
      <c r="I288" s="6" t="str">
        <f t="shared" si="45"/>
        <v/>
      </c>
      <c r="J288" s="6" t="str">
        <f>IF(B288&lt;&gt;"",IF(AND(المدخلات!$H$54="سنوي",MOD(B288,12)=0),المدخلات!$J$54,IF(AND(المدخلات!$H$54="القسط (الدفعة) الاول",B288=1),المدخلات!$J$54,IF(المدخلات!$H$54="شهري",المدخلات!$J$54,""))),"")</f>
        <v/>
      </c>
      <c r="K288" s="6" t="str">
        <f>IF(B288&lt;&gt;"",IF(AND(المدخلات!$H$55="سنوي",MOD(B288,12)=0),المدخلات!$J$55,IF(AND(المدخلات!$H$55="القسط (الدفعة) الاول",B288=1),المدخلات!$J$55,IF(المدخلات!$H$55="شهري",المدخلات!$J$55,""))),"")</f>
        <v/>
      </c>
      <c r="L288" s="6" t="str">
        <f>IF(B288&lt;&gt;"",IF(AND(المدخلات!$H$56="سنوي",MOD(B288,12)=0),المدخلات!$J$56,IF(AND(المدخلات!$H$56="القسط (الدفعة) الاول",B288=1),المدخلات!$J$56,IF(المدخلات!$H$56="شهري",المدخلات!$J$56,""))),"")</f>
        <v/>
      </c>
      <c r="M288" s="6" t="str">
        <f>IF(B288&lt;&gt;"",IF(AND(المدخلات!$H$57="سنوي",MOD(B288,12)=0),المدخلات!$J$57,IF(AND(المدخلات!$H$57="القسط (الدفعة) الاول",B288=1),المدخلات!$J$57,IF(المدخلات!$H$57="شهري",المدخلات!$J$57,""))),"")</f>
        <v/>
      </c>
      <c r="N288" s="6" t="str">
        <f>IF(B288&lt;&gt;"",IF(AND(المدخلات!$H$58="سنوي",MOD(B288,12)=0),المدخلات!$J$58,IF(AND(المدخلات!$H$58="القسط (الدفعة) الاول",B288=1),المدخلات!$J$58,IF(المدخلات!$H$58="شهري",المدخلات!$J$58,IF(AND(المدخلات!$H$58="End of the loan",B288=المدخلات!$E$58),المدخلات!$J$58,"")))),"")</f>
        <v/>
      </c>
      <c r="O288" s="6" t="str">
        <f t="shared" si="40"/>
        <v/>
      </c>
      <c r="P288" s="4" t="str">
        <f t="shared" si="41"/>
        <v/>
      </c>
      <c r="T288" s="9" t="str">
        <f t="shared" si="42"/>
        <v/>
      </c>
      <c r="U288" s="5" t="str">
        <f t="shared" si="43"/>
        <v xml:space="preserve"> </v>
      </c>
    </row>
    <row r="289" spans="2:21" x14ac:dyDescent="0.2">
      <c r="B289" s="16" t="str">
        <f t="shared" si="46"/>
        <v/>
      </c>
      <c r="C289" s="9" t="str">
        <f t="shared" si="47"/>
        <v/>
      </c>
      <c r="D289" s="6" t="str">
        <f>IFERROR((PPMT(المدخلات!$E$55/12,B289,$C$6,المدخلات!$E$54,-المدخلات!$E$65,0))," ")</f>
        <v xml:space="preserve"> </v>
      </c>
      <c r="E289" s="6" t="str">
        <f>IFERROR(((IPMT(المدخلات!$E$55/12,B289,$C$6,المدخلات!$E$54,-المدخلات!$E$65,0)))," ")</f>
        <v xml:space="preserve"> </v>
      </c>
      <c r="F289" s="6" t="str">
        <f t="shared" si="49"/>
        <v/>
      </c>
      <c r="G289" s="6" t="str">
        <f t="shared" si="48"/>
        <v/>
      </c>
      <c r="H289" s="6" t="str">
        <f t="shared" si="44"/>
        <v/>
      </c>
      <c r="I289" s="6" t="str">
        <f t="shared" si="45"/>
        <v/>
      </c>
      <c r="J289" s="6" t="str">
        <f>IF(B289&lt;&gt;"",IF(AND(المدخلات!$H$54="سنوي",MOD(B289,12)=0),المدخلات!$J$54,IF(AND(المدخلات!$H$54="القسط (الدفعة) الاول",B289=1),المدخلات!$J$54,IF(المدخلات!$H$54="شهري",المدخلات!$J$54,""))),"")</f>
        <v/>
      </c>
      <c r="K289" s="6" t="str">
        <f>IF(B289&lt;&gt;"",IF(AND(المدخلات!$H$55="سنوي",MOD(B289,12)=0),المدخلات!$J$55,IF(AND(المدخلات!$H$55="القسط (الدفعة) الاول",B289=1),المدخلات!$J$55,IF(المدخلات!$H$55="شهري",المدخلات!$J$55,""))),"")</f>
        <v/>
      </c>
      <c r="L289" s="6" t="str">
        <f>IF(B289&lt;&gt;"",IF(AND(المدخلات!$H$56="سنوي",MOD(B289,12)=0),المدخلات!$J$56,IF(AND(المدخلات!$H$56="القسط (الدفعة) الاول",B289=1),المدخلات!$J$56,IF(المدخلات!$H$56="شهري",المدخلات!$J$56,""))),"")</f>
        <v/>
      </c>
      <c r="M289" s="6" t="str">
        <f>IF(B289&lt;&gt;"",IF(AND(المدخلات!$H$57="سنوي",MOD(B289,12)=0),المدخلات!$J$57,IF(AND(المدخلات!$H$57="القسط (الدفعة) الاول",B289=1),المدخلات!$J$57,IF(المدخلات!$H$57="شهري",المدخلات!$J$57,""))),"")</f>
        <v/>
      </c>
      <c r="N289" s="6" t="str">
        <f>IF(B289&lt;&gt;"",IF(AND(المدخلات!$H$58="سنوي",MOD(B289,12)=0),المدخلات!$J$58,IF(AND(المدخلات!$H$58="القسط (الدفعة) الاول",B289=1),المدخلات!$J$58,IF(المدخلات!$H$58="شهري",المدخلات!$J$58,IF(AND(المدخلات!$H$58="End of the loan",B289=المدخلات!$E$58),المدخلات!$J$58,"")))),"")</f>
        <v/>
      </c>
      <c r="O289" s="6" t="str">
        <f t="shared" si="40"/>
        <v/>
      </c>
      <c r="P289" s="4" t="str">
        <f t="shared" si="41"/>
        <v/>
      </c>
      <c r="T289" s="9" t="str">
        <f t="shared" si="42"/>
        <v/>
      </c>
      <c r="U289" s="5" t="str">
        <f t="shared" si="43"/>
        <v xml:space="preserve"> </v>
      </c>
    </row>
    <row r="290" spans="2:21" x14ac:dyDescent="0.2">
      <c r="B290" s="16" t="str">
        <f t="shared" si="46"/>
        <v/>
      </c>
      <c r="C290" s="9" t="str">
        <f t="shared" si="47"/>
        <v/>
      </c>
      <c r="D290" s="6" t="str">
        <f>IFERROR((PPMT(المدخلات!$E$55/12,B290,$C$6,المدخلات!$E$54,-المدخلات!$E$65,0))," ")</f>
        <v xml:space="preserve"> </v>
      </c>
      <c r="E290" s="6" t="str">
        <f>IFERROR(((IPMT(المدخلات!$E$55/12,B290,$C$6,المدخلات!$E$54,-المدخلات!$E$65,0)))," ")</f>
        <v xml:space="preserve"> </v>
      </c>
      <c r="F290" s="6" t="str">
        <f t="shared" si="49"/>
        <v/>
      </c>
      <c r="G290" s="6" t="str">
        <f t="shared" si="48"/>
        <v/>
      </c>
      <c r="H290" s="6" t="str">
        <f t="shared" si="44"/>
        <v/>
      </c>
      <c r="I290" s="6" t="str">
        <f t="shared" si="45"/>
        <v/>
      </c>
      <c r="J290" s="6" t="str">
        <f>IF(B290&lt;&gt;"",IF(AND(المدخلات!$H$54="سنوي",MOD(B290,12)=0),المدخلات!$J$54,IF(AND(المدخلات!$H$54="القسط (الدفعة) الاول",B290=1),المدخلات!$J$54,IF(المدخلات!$H$54="شهري",المدخلات!$J$54,""))),"")</f>
        <v/>
      </c>
      <c r="K290" s="6" t="str">
        <f>IF(B290&lt;&gt;"",IF(AND(المدخلات!$H$55="سنوي",MOD(B290,12)=0),المدخلات!$J$55,IF(AND(المدخلات!$H$55="القسط (الدفعة) الاول",B290=1),المدخلات!$J$55,IF(المدخلات!$H$55="شهري",المدخلات!$J$55,""))),"")</f>
        <v/>
      </c>
      <c r="L290" s="6" t="str">
        <f>IF(B290&lt;&gt;"",IF(AND(المدخلات!$H$56="سنوي",MOD(B290,12)=0),المدخلات!$J$56,IF(AND(المدخلات!$H$56="القسط (الدفعة) الاول",B290=1),المدخلات!$J$56,IF(المدخلات!$H$56="شهري",المدخلات!$J$56,""))),"")</f>
        <v/>
      </c>
      <c r="M290" s="6" t="str">
        <f>IF(B290&lt;&gt;"",IF(AND(المدخلات!$H$57="سنوي",MOD(B290,12)=0),المدخلات!$J$57,IF(AND(المدخلات!$H$57="القسط (الدفعة) الاول",B290=1),المدخلات!$J$57,IF(المدخلات!$H$57="شهري",المدخلات!$J$57,""))),"")</f>
        <v/>
      </c>
      <c r="N290" s="6" t="str">
        <f>IF(B290&lt;&gt;"",IF(AND(المدخلات!$H$58="سنوي",MOD(B290,12)=0),المدخلات!$J$58,IF(AND(المدخلات!$H$58="القسط (الدفعة) الاول",B290=1),المدخلات!$J$58,IF(المدخلات!$H$58="شهري",المدخلات!$J$58,IF(AND(المدخلات!$H$58="End of the loan",B290=المدخلات!$E$58),المدخلات!$J$58,"")))),"")</f>
        <v/>
      </c>
      <c r="O290" s="6" t="str">
        <f t="shared" si="40"/>
        <v/>
      </c>
      <c r="P290" s="4" t="str">
        <f t="shared" si="41"/>
        <v/>
      </c>
      <c r="T290" s="9" t="str">
        <f t="shared" si="42"/>
        <v/>
      </c>
      <c r="U290" s="5" t="str">
        <f t="shared" si="43"/>
        <v xml:space="preserve"> </v>
      </c>
    </row>
    <row r="291" spans="2:21" x14ac:dyDescent="0.2">
      <c r="B291" s="16" t="str">
        <f t="shared" si="46"/>
        <v/>
      </c>
      <c r="C291" s="9" t="str">
        <f t="shared" si="47"/>
        <v/>
      </c>
      <c r="D291" s="6" t="str">
        <f>IFERROR((PPMT(المدخلات!$E$55/12,B291,$C$6,المدخلات!$E$54,-المدخلات!$E$65,0))," ")</f>
        <v xml:space="preserve"> </v>
      </c>
      <c r="E291" s="6" t="str">
        <f>IFERROR(((IPMT(المدخلات!$E$55/12,B291,$C$6,المدخلات!$E$54,-المدخلات!$E$65,0)))," ")</f>
        <v xml:space="preserve"> </v>
      </c>
      <c r="F291" s="6" t="str">
        <f t="shared" si="49"/>
        <v/>
      </c>
      <c r="G291" s="6" t="str">
        <f t="shared" si="48"/>
        <v/>
      </c>
      <c r="H291" s="6" t="str">
        <f t="shared" si="44"/>
        <v/>
      </c>
      <c r="I291" s="6" t="str">
        <f t="shared" si="45"/>
        <v/>
      </c>
      <c r="J291" s="6" t="str">
        <f>IF(B291&lt;&gt;"",IF(AND(المدخلات!$H$54="سنوي",MOD(B291,12)=0),المدخلات!$J$54,IF(AND(المدخلات!$H$54="القسط (الدفعة) الاول",B291=1),المدخلات!$J$54,IF(المدخلات!$H$54="شهري",المدخلات!$J$54,""))),"")</f>
        <v/>
      </c>
      <c r="K291" s="6" t="str">
        <f>IF(B291&lt;&gt;"",IF(AND(المدخلات!$H$55="سنوي",MOD(B291,12)=0),المدخلات!$J$55,IF(AND(المدخلات!$H$55="القسط (الدفعة) الاول",B291=1),المدخلات!$J$55,IF(المدخلات!$H$55="شهري",المدخلات!$J$55,""))),"")</f>
        <v/>
      </c>
      <c r="L291" s="6" t="str">
        <f>IF(B291&lt;&gt;"",IF(AND(المدخلات!$H$56="سنوي",MOD(B291,12)=0),المدخلات!$J$56,IF(AND(المدخلات!$H$56="القسط (الدفعة) الاول",B291=1),المدخلات!$J$56,IF(المدخلات!$H$56="شهري",المدخلات!$J$56,""))),"")</f>
        <v/>
      </c>
      <c r="M291" s="6" t="str">
        <f>IF(B291&lt;&gt;"",IF(AND(المدخلات!$H$57="سنوي",MOD(B291,12)=0),المدخلات!$J$57,IF(AND(المدخلات!$H$57="القسط (الدفعة) الاول",B291=1),المدخلات!$J$57,IF(المدخلات!$H$57="شهري",المدخلات!$J$57,""))),"")</f>
        <v/>
      </c>
      <c r="N291" s="6" t="str">
        <f>IF(B291&lt;&gt;"",IF(AND(المدخلات!$H$58="سنوي",MOD(B291,12)=0),المدخلات!$J$58,IF(AND(المدخلات!$H$58="القسط (الدفعة) الاول",B291=1),المدخلات!$J$58,IF(المدخلات!$H$58="شهري",المدخلات!$J$58,IF(AND(المدخلات!$H$58="End of the loan",B291=المدخلات!$E$58),المدخلات!$J$58,"")))),"")</f>
        <v/>
      </c>
      <c r="O291" s="6" t="str">
        <f t="shared" si="40"/>
        <v/>
      </c>
      <c r="P291" s="4" t="str">
        <f t="shared" si="41"/>
        <v/>
      </c>
      <c r="T291" s="9" t="str">
        <f t="shared" si="42"/>
        <v/>
      </c>
      <c r="U291" s="5" t="str">
        <f t="shared" si="43"/>
        <v xml:space="preserve"> </v>
      </c>
    </row>
    <row r="292" spans="2:21" x14ac:dyDescent="0.2">
      <c r="B292" s="16" t="str">
        <f t="shared" si="46"/>
        <v/>
      </c>
      <c r="C292" s="9" t="str">
        <f t="shared" si="47"/>
        <v/>
      </c>
      <c r="D292" s="6" t="str">
        <f>IFERROR((PPMT(المدخلات!$E$55/12,B292,$C$6,المدخلات!$E$54,-المدخلات!$E$65,0))," ")</f>
        <v xml:space="preserve"> </v>
      </c>
      <c r="E292" s="6" t="str">
        <f>IFERROR(((IPMT(المدخلات!$E$55/12,B292,$C$6,المدخلات!$E$54,-المدخلات!$E$65,0)))," ")</f>
        <v xml:space="preserve"> </v>
      </c>
      <c r="F292" s="6" t="str">
        <f t="shared" si="49"/>
        <v/>
      </c>
      <c r="G292" s="6" t="str">
        <f t="shared" si="48"/>
        <v/>
      </c>
      <c r="H292" s="6" t="str">
        <f t="shared" si="44"/>
        <v/>
      </c>
      <c r="I292" s="6" t="str">
        <f t="shared" si="45"/>
        <v/>
      </c>
      <c r="J292" s="6" t="str">
        <f>IF(B292&lt;&gt;"",IF(AND(المدخلات!$H$54="سنوي",MOD(B292,12)=0),المدخلات!$J$54,IF(AND(المدخلات!$H$54="القسط (الدفعة) الاول",B292=1),المدخلات!$J$54,IF(المدخلات!$H$54="شهري",المدخلات!$J$54,""))),"")</f>
        <v/>
      </c>
      <c r="K292" s="6" t="str">
        <f>IF(B292&lt;&gt;"",IF(AND(المدخلات!$H$55="سنوي",MOD(B292,12)=0),المدخلات!$J$55,IF(AND(المدخلات!$H$55="القسط (الدفعة) الاول",B292=1),المدخلات!$J$55,IF(المدخلات!$H$55="شهري",المدخلات!$J$55,""))),"")</f>
        <v/>
      </c>
      <c r="L292" s="6" t="str">
        <f>IF(B292&lt;&gt;"",IF(AND(المدخلات!$H$56="سنوي",MOD(B292,12)=0),المدخلات!$J$56,IF(AND(المدخلات!$H$56="القسط (الدفعة) الاول",B292=1),المدخلات!$J$56,IF(المدخلات!$H$56="شهري",المدخلات!$J$56,""))),"")</f>
        <v/>
      </c>
      <c r="M292" s="6" t="str">
        <f>IF(B292&lt;&gt;"",IF(AND(المدخلات!$H$57="سنوي",MOD(B292,12)=0),المدخلات!$J$57,IF(AND(المدخلات!$H$57="القسط (الدفعة) الاول",B292=1),المدخلات!$J$57,IF(المدخلات!$H$57="شهري",المدخلات!$J$57,""))),"")</f>
        <v/>
      </c>
      <c r="N292" s="6" t="str">
        <f>IF(B292&lt;&gt;"",IF(AND(المدخلات!$H$58="سنوي",MOD(B292,12)=0),المدخلات!$J$58,IF(AND(المدخلات!$H$58="القسط (الدفعة) الاول",B292=1),المدخلات!$J$58,IF(المدخلات!$H$58="شهري",المدخلات!$J$58,IF(AND(المدخلات!$H$58="End of the loan",B292=المدخلات!$E$58),المدخلات!$J$58,"")))),"")</f>
        <v/>
      </c>
      <c r="O292" s="6" t="str">
        <f t="shared" si="40"/>
        <v/>
      </c>
      <c r="P292" s="4" t="str">
        <f t="shared" si="41"/>
        <v/>
      </c>
      <c r="T292" s="9" t="str">
        <f t="shared" si="42"/>
        <v/>
      </c>
      <c r="U292" s="5" t="str">
        <f t="shared" si="43"/>
        <v xml:space="preserve"> </v>
      </c>
    </row>
    <row r="293" spans="2:21" x14ac:dyDescent="0.2">
      <c r="B293" s="16" t="str">
        <f t="shared" si="46"/>
        <v/>
      </c>
      <c r="C293" s="9" t="str">
        <f t="shared" si="47"/>
        <v/>
      </c>
      <c r="D293" s="6" t="str">
        <f>IFERROR((PPMT(المدخلات!$E$55/12,B293,$C$6,المدخلات!$E$54,-المدخلات!$E$65,0))," ")</f>
        <v xml:space="preserve"> </v>
      </c>
      <c r="E293" s="6" t="str">
        <f>IFERROR(((IPMT(المدخلات!$E$55/12,B293,$C$6,المدخلات!$E$54,-المدخلات!$E$65,0)))," ")</f>
        <v xml:space="preserve"> </v>
      </c>
      <c r="F293" s="6" t="str">
        <f t="shared" si="49"/>
        <v/>
      </c>
      <c r="G293" s="6" t="str">
        <f t="shared" si="48"/>
        <v/>
      </c>
      <c r="H293" s="6" t="str">
        <f t="shared" si="44"/>
        <v/>
      </c>
      <c r="I293" s="6" t="str">
        <f t="shared" si="45"/>
        <v/>
      </c>
      <c r="J293" s="6" t="str">
        <f>IF(B293&lt;&gt;"",IF(AND(المدخلات!$H$54="سنوي",MOD(B293,12)=0),المدخلات!$J$54,IF(AND(المدخلات!$H$54="القسط (الدفعة) الاول",B293=1),المدخلات!$J$54,IF(المدخلات!$H$54="شهري",المدخلات!$J$54,""))),"")</f>
        <v/>
      </c>
      <c r="K293" s="6" t="str">
        <f>IF(B293&lt;&gt;"",IF(AND(المدخلات!$H$55="سنوي",MOD(B293,12)=0),المدخلات!$J$55,IF(AND(المدخلات!$H$55="القسط (الدفعة) الاول",B293=1),المدخلات!$J$55,IF(المدخلات!$H$55="شهري",المدخلات!$J$55,""))),"")</f>
        <v/>
      </c>
      <c r="L293" s="6" t="str">
        <f>IF(B293&lt;&gt;"",IF(AND(المدخلات!$H$56="سنوي",MOD(B293,12)=0),المدخلات!$J$56,IF(AND(المدخلات!$H$56="القسط (الدفعة) الاول",B293=1),المدخلات!$J$56,IF(المدخلات!$H$56="شهري",المدخلات!$J$56,""))),"")</f>
        <v/>
      </c>
      <c r="M293" s="6" t="str">
        <f>IF(B293&lt;&gt;"",IF(AND(المدخلات!$H$57="سنوي",MOD(B293,12)=0),المدخلات!$J$57,IF(AND(المدخلات!$H$57="القسط (الدفعة) الاول",B293=1),المدخلات!$J$57,IF(المدخلات!$H$57="شهري",المدخلات!$J$57,""))),"")</f>
        <v/>
      </c>
      <c r="N293" s="6" t="str">
        <f>IF(B293&lt;&gt;"",IF(AND(المدخلات!$H$58="سنوي",MOD(B293,12)=0),المدخلات!$J$58,IF(AND(المدخلات!$H$58="القسط (الدفعة) الاول",B293=1),المدخلات!$J$58,IF(المدخلات!$H$58="شهري",المدخلات!$J$58,IF(AND(المدخلات!$H$58="End of the loan",B293=المدخلات!$E$58),المدخلات!$J$58,"")))),"")</f>
        <v/>
      </c>
      <c r="O293" s="6" t="str">
        <f t="shared" si="40"/>
        <v/>
      </c>
      <c r="P293" s="4" t="str">
        <f t="shared" si="41"/>
        <v/>
      </c>
      <c r="T293" s="9" t="str">
        <f t="shared" si="42"/>
        <v/>
      </c>
      <c r="U293" s="5" t="str">
        <f t="shared" si="43"/>
        <v xml:space="preserve"> </v>
      </c>
    </row>
    <row r="294" spans="2:21" x14ac:dyDescent="0.2">
      <c r="B294" s="16" t="str">
        <f t="shared" si="46"/>
        <v/>
      </c>
      <c r="C294" s="9" t="str">
        <f t="shared" si="47"/>
        <v/>
      </c>
      <c r="D294" s="6" t="str">
        <f>IFERROR((PPMT(المدخلات!$E$55/12,B294,$C$6,المدخلات!$E$54,-المدخلات!$E$65,0))," ")</f>
        <v xml:space="preserve"> </v>
      </c>
      <c r="E294" s="6" t="str">
        <f>IFERROR(((IPMT(المدخلات!$E$55/12,B294,$C$6,المدخلات!$E$54,-المدخلات!$E$65,0)))," ")</f>
        <v xml:space="preserve"> </v>
      </c>
      <c r="F294" s="6" t="str">
        <f t="shared" si="49"/>
        <v/>
      </c>
      <c r="G294" s="6" t="str">
        <f t="shared" si="48"/>
        <v/>
      </c>
      <c r="H294" s="6" t="str">
        <f t="shared" si="44"/>
        <v/>
      </c>
      <c r="I294" s="6" t="str">
        <f t="shared" si="45"/>
        <v/>
      </c>
      <c r="J294" s="6" t="str">
        <f>IF(B294&lt;&gt;"",IF(AND(المدخلات!$H$54="سنوي",MOD(B294,12)=0),المدخلات!$J$54,IF(AND(المدخلات!$H$54="القسط (الدفعة) الاول",B294=1),المدخلات!$J$54,IF(المدخلات!$H$54="شهري",المدخلات!$J$54,""))),"")</f>
        <v/>
      </c>
      <c r="K294" s="6" t="str">
        <f>IF(B294&lt;&gt;"",IF(AND(المدخلات!$H$55="سنوي",MOD(B294,12)=0),المدخلات!$J$55,IF(AND(المدخلات!$H$55="القسط (الدفعة) الاول",B294=1),المدخلات!$J$55,IF(المدخلات!$H$55="شهري",المدخلات!$J$55,""))),"")</f>
        <v/>
      </c>
      <c r="L294" s="6" t="str">
        <f>IF(B294&lt;&gt;"",IF(AND(المدخلات!$H$56="سنوي",MOD(B294,12)=0),المدخلات!$J$56,IF(AND(المدخلات!$H$56="القسط (الدفعة) الاول",B294=1),المدخلات!$J$56,IF(المدخلات!$H$56="شهري",المدخلات!$J$56,""))),"")</f>
        <v/>
      </c>
      <c r="M294" s="6" t="str">
        <f>IF(B294&lt;&gt;"",IF(AND(المدخلات!$H$57="سنوي",MOD(B294,12)=0),المدخلات!$J$57,IF(AND(المدخلات!$H$57="القسط (الدفعة) الاول",B294=1),المدخلات!$J$57,IF(المدخلات!$H$57="شهري",المدخلات!$J$57,""))),"")</f>
        <v/>
      </c>
      <c r="N294" s="6" t="str">
        <f>IF(B294&lt;&gt;"",IF(AND(المدخلات!$H$58="سنوي",MOD(B294,12)=0),المدخلات!$J$58,IF(AND(المدخلات!$H$58="القسط (الدفعة) الاول",B294=1),المدخلات!$J$58,IF(المدخلات!$H$58="شهري",المدخلات!$J$58,IF(AND(المدخلات!$H$58="End of the loan",B294=المدخلات!$E$58),المدخلات!$J$58,"")))),"")</f>
        <v/>
      </c>
      <c r="O294" s="6" t="str">
        <f t="shared" si="40"/>
        <v/>
      </c>
      <c r="P294" s="4" t="str">
        <f t="shared" si="41"/>
        <v/>
      </c>
      <c r="T294" s="9" t="str">
        <f t="shared" si="42"/>
        <v/>
      </c>
      <c r="U294" s="5" t="str">
        <f t="shared" si="43"/>
        <v xml:space="preserve"> </v>
      </c>
    </row>
    <row r="295" spans="2:21" x14ac:dyDescent="0.2">
      <c r="B295" s="16" t="str">
        <f t="shared" si="46"/>
        <v/>
      </c>
      <c r="C295" s="9" t="str">
        <f t="shared" si="47"/>
        <v/>
      </c>
      <c r="D295" s="6" t="str">
        <f>IFERROR((PPMT(المدخلات!$E$55/12,B295,$C$6,المدخلات!$E$54,-المدخلات!$E$65,0))," ")</f>
        <v xml:space="preserve"> </v>
      </c>
      <c r="E295" s="6" t="str">
        <f>IFERROR(((IPMT(المدخلات!$E$55/12,B295,$C$6,المدخلات!$E$54,-المدخلات!$E$65,0)))," ")</f>
        <v xml:space="preserve"> </v>
      </c>
      <c r="F295" s="6" t="str">
        <f t="shared" si="49"/>
        <v/>
      </c>
      <c r="G295" s="6" t="str">
        <f t="shared" si="48"/>
        <v/>
      </c>
      <c r="H295" s="6" t="str">
        <f t="shared" si="44"/>
        <v/>
      </c>
      <c r="I295" s="6" t="str">
        <f t="shared" si="45"/>
        <v/>
      </c>
      <c r="J295" s="6" t="str">
        <f>IF(B295&lt;&gt;"",IF(AND(المدخلات!$H$54="سنوي",MOD(B295,12)=0),المدخلات!$J$54,IF(AND(المدخلات!$H$54="القسط (الدفعة) الاول",B295=1),المدخلات!$J$54,IF(المدخلات!$H$54="شهري",المدخلات!$J$54,""))),"")</f>
        <v/>
      </c>
      <c r="K295" s="6" t="str">
        <f>IF(B295&lt;&gt;"",IF(AND(المدخلات!$H$55="سنوي",MOD(B295,12)=0),المدخلات!$J$55,IF(AND(المدخلات!$H$55="القسط (الدفعة) الاول",B295=1),المدخلات!$J$55,IF(المدخلات!$H$55="شهري",المدخلات!$J$55,""))),"")</f>
        <v/>
      </c>
      <c r="L295" s="6" t="str">
        <f>IF(B295&lt;&gt;"",IF(AND(المدخلات!$H$56="سنوي",MOD(B295,12)=0),المدخلات!$J$56,IF(AND(المدخلات!$H$56="القسط (الدفعة) الاول",B295=1),المدخلات!$J$56,IF(المدخلات!$H$56="شهري",المدخلات!$J$56,""))),"")</f>
        <v/>
      </c>
      <c r="M295" s="6" t="str">
        <f>IF(B295&lt;&gt;"",IF(AND(المدخلات!$H$57="سنوي",MOD(B295,12)=0),المدخلات!$J$57,IF(AND(المدخلات!$H$57="القسط (الدفعة) الاول",B295=1),المدخلات!$J$57,IF(المدخلات!$H$57="شهري",المدخلات!$J$57,""))),"")</f>
        <v/>
      </c>
      <c r="N295" s="6" t="str">
        <f>IF(B295&lt;&gt;"",IF(AND(المدخلات!$H$58="سنوي",MOD(B295,12)=0),المدخلات!$J$58,IF(AND(المدخلات!$H$58="القسط (الدفعة) الاول",B295=1),المدخلات!$J$58,IF(المدخلات!$H$58="شهري",المدخلات!$J$58,IF(AND(المدخلات!$H$58="End of the loan",B295=المدخلات!$E$58),المدخلات!$J$58,"")))),"")</f>
        <v/>
      </c>
      <c r="O295" s="6" t="str">
        <f t="shared" si="40"/>
        <v/>
      </c>
      <c r="P295" s="4" t="str">
        <f t="shared" si="41"/>
        <v/>
      </c>
      <c r="T295" s="9" t="str">
        <f t="shared" si="42"/>
        <v/>
      </c>
      <c r="U295" s="5" t="str">
        <f t="shared" si="43"/>
        <v xml:space="preserve"> </v>
      </c>
    </row>
    <row r="296" spans="2:21" x14ac:dyDescent="0.2">
      <c r="B296" s="16" t="str">
        <f t="shared" si="46"/>
        <v/>
      </c>
      <c r="C296" s="9" t="str">
        <f t="shared" si="47"/>
        <v/>
      </c>
      <c r="D296" s="6" t="str">
        <f>IFERROR((PPMT(المدخلات!$E$55/12,B296,$C$6,المدخلات!$E$54,-المدخلات!$E$65,0))," ")</f>
        <v xml:space="preserve"> </v>
      </c>
      <c r="E296" s="6" t="str">
        <f>IFERROR(((IPMT(المدخلات!$E$55/12,B296,$C$6,المدخلات!$E$54,-المدخلات!$E$65,0)))," ")</f>
        <v xml:space="preserve"> </v>
      </c>
      <c r="F296" s="6" t="str">
        <f t="shared" si="49"/>
        <v/>
      </c>
      <c r="G296" s="6" t="str">
        <f t="shared" si="48"/>
        <v/>
      </c>
      <c r="H296" s="6" t="str">
        <f t="shared" si="44"/>
        <v/>
      </c>
      <c r="I296" s="6" t="str">
        <f t="shared" si="45"/>
        <v/>
      </c>
      <c r="J296" s="6" t="str">
        <f>IF(B296&lt;&gt;"",IF(AND(المدخلات!$H$54="سنوي",MOD(B296,12)=0),المدخلات!$J$54,IF(AND(المدخلات!$H$54="القسط (الدفعة) الاول",B296=1),المدخلات!$J$54,IF(المدخلات!$H$54="شهري",المدخلات!$J$54,""))),"")</f>
        <v/>
      </c>
      <c r="K296" s="6" t="str">
        <f>IF(B296&lt;&gt;"",IF(AND(المدخلات!$H$55="سنوي",MOD(B296,12)=0),المدخلات!$J$55,IF(AND(المدخلات!$H$55="القسط (الدفعة) الاول",B296=1),المدخلات!$J$55,IF(المدخلات!$H$55="شهري",المدخلات!$J$55,""))),"")</f>
        <v/>
      </c>
      <c r="L296" s="6" t="str">
        <f>IF(B296&lt;&gt;"",IF(AND(المدخلات!$H$56="سنوي",MOD(B296,12)=0),المدخلات!$J$56,IF(AND(المدخلات!$H$56="القسط (الدفعة) الاول",B296=1),المدخلات!$J$56,IF(المدخلات!$H$56="شهري",المدخلات!$J$56,""))),"")</f>
        <v/>
      </c>
      <c r="M296" s="6" t="str">
        <f>IF(B296&lt;&gt;"",IF(AND(المدخلات!$H$57="سنوي",MOD(B296,12)=0),المدخلات!$J$57,IF(AND(المدخلات!$H$57="القسط (الدفعة) الاول",B296=1),المدخلات!$J$57,IF(المدخلات!$H$57="شهري",المدخلات!$J$57,""))),"")</f>
        <v/>
      </c>
      <c r="N296" s="6" t="str">
        <f>IF(B296&lt;&gt;"",IF(AND(المدخلات!$H$58="سنوي",MOD(B296,12)=0),المدخلات!$J$58,IF(AND(المدخلات!$H$58="القسط (الدفعة) الاول",B296=1),المدخلات!$J$58,IF(المدخلات!$H$58="شهري",المدخلات!$J$58,IF(AND(المدخلات!$H$58="End of the loan",B296=المدخلات!$E$58),المدخلات!$J$58,"")))),"")</f>
        <v/>
      </c>
      <c r="O296" s="6" t="str">
        <f t="shared" si="40"/>
        <v/>
      </c>
      <c r="P296" s="4" t="str">
        <f t="shared" si="41"/>
        <v/>
      </c>
      <c r="T296" s="9" t="str">
        <f t="shared" si="42"/>
        <v/>
      </c>
      <c r="U296" s="5" t="str">
        <f t="shared" si="43"/>
        <v xml:space="preserve"> </v>
      </c>
    </row>
    <row r="297" spans="2:21" x14ac:dyDescent="0.2">
      <c r="B297" s="16" t="str">
        <f t="shared" si="46"/>
        <v/>
      </c>
      <c r="C297" s="9" t="str">
        <f t="shared" si="47"/>
        <v/>
      </c>
      <c r="D297" s="6" t="str">
        <f>IFERROR((PPMT(المدخلات!$E$55/12,B297,$C$6,المدخلات!$E$54,-المدخلات!$E$65,0))," ")</f>
        <v xml:space="preserve"> </v>
      </c>
      <c r="E297" s="6" t="str">
        <f>IFERROR(((IPMT(المدخلات!$E$55/12,B297,$C$6,المدخلات!$E$54,-المدخلات!$E$65,0)))," ")</f>
        <v xml:space="preserve"> </v>
      </c>
      <c r="F297" s="6" t="str">
        <f t="shared" si="49"/>
        <v/>
      </c>
      <c r="G297" s="6" t="str">
        <f t="shared" si="48"/>
        <v/>
      </c>
      <c r="H297" s="6" t="str">
        <f t="shared" si="44"/>
        <v/>
      </c>
      <c r="I297" s="6" t="str">
        <f t="shared" si="45"/>
        <v/>
      </c>
      <c r="J297" s="6" t="str">
        <f>IF(B297&lt;&gt;"",IF(AND(المدخلات!$H$54="سنوي",MOD(B297,12)=0),المدخلات!$J$54,IF(AND(المدخلات!$H$54="القسط (الدفعة) الاول",B297=1),المدخلات!$J$54,IF(المدخلات!$H$54="شهري",المدخلات!$J$54,""))),"")</f>
        <v/>
      </c>
      <c r="K297" s="6" t="str">
        <f>IF(B297&lt;&gt;"",IF(AND(المدخلات!$H$55="سنوي",MOD(B297,12)=0),المدخلات!$J$55,IF(AND(المدخلات!$H$55="القسط (الدفعة) الاول",B297=1),المدخلات!$J$55,IF(المدخلات!$H$55="شهري",المدخلات!$J$55,""))),"")</f>
        <v/>
      </c>
      <c r="L297" s="6" t="str">
        <f>IF(B297&lt;&gt;"",IF(AND(المدخلات!$H$56="سنوي",MOD(B297,12)=0),المدخلات!$J$56,IF(AND(المدخلات!$H$56="القسط (الدفعة) الاول",B297=1),المدخلات!$J$56,IF(المدخلات!$H$56="شهري",المدخلات!$J$56,""))),"")</f>
        <v/>
      </c>
      <c r="M297" s="6" t="str">
        <f>IF(B297&lt;&gt;"",IF(AND(المدخلات!$H$57="سنوي",MOD(B297,12)=0),المدخلات!$J$57,IF(AND(المدخلات!$H$57="القسط (الدفعة) الاول",B297=1),المدخلات!$J$57,IF(المدخلات!$H$57="شهري",المدخلات!$J$57,""))),"")</f>
        <v/>
      </c>
      <c r="N297" s="6" t="str">
        <f>IF(B297&lt;&gt;"",IF(AND(المدخلات!$H$58="سنوي",MOD(B297,12)=0),المدخلات!$J$58,IF(AND(المدخلات!$H$58="القسط (الدفعة) الاول",B297=1),المدخلات!$J$58,IF(المدخلات!$H$58="شهري",المدخلات!$J$58,IF(AND(المدخلات!$H$58="End of the loan",B297=المدخلات!$E$58),المدخلات!$J$58,"")))),"")</f>
        <v/>
      </c>
      <c r="O297" s="6" t="str">
        <f t="shared" si="40"/>
        <v/>
      </c>
      <c r="P297" s="4" t="str">
        <f t="shared" si="41"/>
        <v/>
      </c>
      <c r="T297" s="9" t="str">
        <f t="shared" si="42"/>
        <v/>
      </c>
      <c r="U297" s="5" t="str">
        <f t="shared" si="43"/>
        <v xml:space="preserve"> </v>
      </c>
    </row>
    <row r="298" spans="2:21" x14ac:dyDescent="0.2">
      <c r="B298" s="16" t="str">
        <f t="shared" si="46"/>
        <v/>
      </c>
      <c r="C298" s="9" t="str">
        <f t="shared" si="47"/>
        <v/>
      </c>
      <c r="D298" s="6" t="str">
        <f>IFERROR((PPMT(المدخلات!$E$55/12,B298,$C$6,المدخلات!$E$54,-المدخلات!$E$65,0))," ")</f>
        <v xml:space="preserve"> </v>
      </c>
      <c r="E298" s="6" t="str">
        <f>IFERROR(((IPMT(المدخلات!$E$55/12,B298,$C$6,المدخلات!$E$54,-المدخلات!$E$65,0)))," ")</f>
        <v xml:space="preserve"> </v>
      </c>
      <c r="F298" s="6" t="str">
        <f t="shared" si="49"/>
        <v/>
      </c>
      <c r="G298" s="6" t="str">
        <f t="shared" si="48"/>
        <v/>
      </c>
      <c r="H298" s="6" t="str">
        <f t="shared" si="44"/>
        <v/>
      </c>
      <c r="I298" s="6" t="str">
        <f t="shared" si="45"/>
        <v/>
      </c>
      <c r="J298" s="6" t="str">
        <f>IF(B298&lt;&gt;"",IF(AND(المدخلات!$H$54="سنوي",MOD(B298,12)=0),المدخلات!$J$54,IF(AND(المدخلات!$H$54="القسط (الدفعة) الاول",B298=1),المدخلات!$J$54,IF(المدخلات!$H$54="شهري",المدخلات!$J$54,""))),"")</f>
        <v/>
      </c>
      <c r="K298" s="6" t="str">
        <f>IF(B298&lt;&gt;"",IF(AND(المدخلات!$H$55="سنوي",MOD(B298,12)=0),المدخلات!$J$55,IF(AND(المدخلات!$H$55="القسط (الدفعة) الاول",B298=1),المدخلات!$J$55,IF(المدخلات!$H$55="شهري",المدخلات!$J$55,""))),"")</f>
        <v/>
      </c>
      <c r="L298" s="6" t="str">
        <f>IF(B298&lt;&gt;"",IF(AND(المدخلات!$H$56="سنوي",MOD(B298,12)=0),المدخلات!$J$56,IF(AND(المدخلات!$H$56="القسط (الدفعة) الاول",B298=1),المدخلات!$J$56,IF(المدخلات!$H$56="شهري",المدخلات!$J$56,""))),"")</f>
        <v/>
      </c>
      <c r="M298" s="6" t="str">
        <f>IF(B298&lt;&gt;"",IF(AND(المدخلات!$H$57="سنوي",MOD(B298,12)=0),المدخلات!$J$57,IF(AND(المدخلات!$H$57="القسط (الدفعة) الاول",B298=1),المدخلات!$J$57,IF(المدخلات!$H$57="شهري",المدخلات!$J$57,""))),"")</f>
        <v/>
      </c>
      <c r="N298" s="6" t="str">
        <f>IF(B298&lt;&gt;"",IF(AND(المدخلات!$H$58="سنوي",MOD(B298,12)=0),المدخلات!$J$58,IF(AND(المدخلات!$H$58="القسط (الدفعة) الاول",B298=1),المدخلات!$J$58,IF(المدخلات!$H$58="شهري",المدخلات!$J$58,IF(AND(المدخلات!$H$58="End of the loan",B298=المدخلات!$E$58),المدخلات!$J$58,"")))),"")</f>
        <v/>
      </c>
      <c r="O298" s="6" t="str">
        <f t="shared" si="40"/>
        <v/>
      </c>
      <c r="P298" s="4" t="str">
        <f t="shared" si="41"/>
        <v/>
      </c>
      <c r="T298" s="9" t="str">
        <f t="shared" si="42"/>
        <v/>
      </c>
      <c r="U298" s="5" t="str">
        <f t="shared" si="43"/>
        <v xml:space="preserve"> </v>
      </c>
    </row>
    <row r="299" spans="2:21" x14ac:dyDescent="0.2">
      <c r="B299" s="16" t="str">
        <f t="shared" si="46"/>
        <v/>
      </c>
      <c r="C299" s="9" t="str">
        <f t="shared" si="47"/>
        <v/>
      </c>
      <c r="D299" s="6" t="str">
        <f>IFERROR((PPMT(المدخلات!$E$55/12,B299,$C$6,المدخلات!$E$54,-المدخلات!$E$65,0))," ")</f>
        <v xml:space="preserve"> </v>
      </c>
      <c r="E299" s="6" t="str">
        <f>IFERROR(((IPMT(المدخلات!$E$55/12,B299,$C$6,المدخلات!$E$54,-المدخلات!$E$65,0)))," ")</f>
        <v xml:space="preserve"> </v>
      </c>
      <c r="F299" s="6" t="str">
        <f t="shared" si="49"/>
        <v/>
      </c>
      <c r="G299" s="6" t="str">
        <f t="shared" si="48"/>
        <v/>
      </c>
      <c r="H299" s="6" t="str">
        <f t="shared" si="44"/>
        <v/>
      </c>
      <c r="I299" s="6" t="str">
        <f t="shared" si="45"/>
        <v/>
      </c>
      <c r="J299" s="6" t="str">
        <f>IF(B299&lt;&gt;"",IF(AND(المدخلات!$H$54="سنوي",MOD(B299,12)=0),المدخلات!$J$54,IF(AND(المدخلات!$H$54="القسط (الدفعة) الاول",B299=1),المدخلات!$J$54,IF(المدخلات!$H$54="شهري",المدخلات!$J$54,""))),"")</f>
        <v/>
      </c>
      <c r="K299" s="6" t="str">
        <f>IF(B299&lt;&gt;"",IF(AND(المدخلات!$H$55="سنوي",MOD(B299,12)=0),المدخلات!$J$55,IF(AND(المدخلات!$H$55="القسط (الدفعة) الاول",B299=1),المدخلات!$J$55,IF(المدخلات!$H$55="شهري",المدخلات!$J$55,""))),"")</f>
        <v/>
      </c>
      <c r="L299" s="6" t="str">
        <f>IF(B299&lt;&gt;"",IF(AND(المدخلات!$H$56="سنوي",MOD(B299,12)=0),المدخلات!$J$56,IF(AND(المدخلات!$H$56="القسط (الدفعة) الاول",B299=1),المدخلات!$J$56,IF(المدخلات!$H$56="شهري",المدخلات!$J$56,""))),"")</f>
        <v/>
      </c>
      <c r="M299" s="6" t="str">
        <f>IF(B299&lt;&gt;"",IF(AND(المدخلات!$H$57="سنوي",MOD(B299,12)=0),المدخلات!$J$57,IF(AND(المدخلات!$H$57="القسط (الدفعة) الاول",B299=1),المدخلات!$J$57,IF(المدخلات!$H$57="شهري",المدخلات!$J$57,""))),"")</f>
        <v/>
      </c>
      <c r="N299" s="6" t="str">
        <f>IF(B299&lt;&gt;"",IF(AND(المدخلات!$H$58="سنوي",MOD(B299,12)=0),المدخلات!$J$58,IF(AND(المدخلات!$H$58="القسط (الدفعة) الاول",B299=1),المدخلات!$J$58,IF(المدخلات!$H$58="شهري",المدخلات!$J$58,IF(AND(المدخلات!$H$58="End of the loan",B299=المدخلات!$E$58),المدخلات!$J$58,"")))),"")</f>
        <v/>
      </c>
      <c r="O299" s="6" t="str">
        <f t="shared" si="40"/>
        <v/>
      </c>
      <c r="P299" s="4" t="str">
        <f t="shared" si="41"/>
        <v/>
      </c>
      <c r="T299" s="9" t="str">
        <f t="shared" si="42"/>
        <v/>
      </c>
      <c r="U299" s="5" t="str">
        <f t="shared" si="43"/>
        <v xml:space="preserve"> </v>
      </c>
    </row>
    <row r="300" spans="2:21" x14ac:dyDescent="0.2">
      <c r="B300" s="16" t="str">
        <f t="shared" si="46"/>
        <v/>
      </c>
      <c r="C300" s="9" t="str">
        <f t="shared" si="47"/>
        <v/>
      </c>
      <c r="D300" s="6" t="str">
        <f>IFERROR((PPMT(المدخلات!$E$55/12,B300,$C$6,المدخلات!$E$54,-المدخلات!$E$65,0))," ")</f>
        <v xml:space="preserve"> </v>
      </c>
      <c r="E300" s="6" t="str">
        <f>IFERROR(((IPMT(المدخلات!$E$55/12,B300,$C$6,المدخلات!$E$54,-المدخلات!$E$65,0)))," ")</f>
        <v xml:space="preserve"> </v>
      </c>
      <c r="F300" s="6" t="str">
        <f t="shared" si="49"/>
        <v/>
      </c>
      <c r="G300" s="6" t="str">
        <f t="shared" si="48"/>
        <v/>
      </c>
      <c r="H300" s="6" t="str">
        <f t="shared" si="44"/>
        <v/>
      </c>
      <c r="I300" s="6" t="str">
        <f t="shared" si="45"/>
        <v/>
      </c>
      <c r="J300" s="6" t="str">
        <f>IF(B300&lt;&gt;"",IF(AND(المدخلات!$H$54="سنوي",MOD(B300,12)=0),المدخلات!$J$54,IF(AND(المدخلات!$H$54="القسط (الدفعة) الاول",B300=1),المدخلات!$J$54,IF(المدخلات!$H$54="شهري",المدخلات!$J$54,""))),"")</f>
        <v/>
      </c>
      <c r="K300" s="6" t="str">
        <f>IF(B300&lt;&gt;"",IF(AND(المدخلات!$H$55="سنوي",MOD(B300,12)=0),المدخلات!$J$55,IF(AND(المدخلات!$H$55="القسط (الدفعة) الاول",B300=1),المدخلات!$J$55,IF(المدخلات!$H$55="شهري",المدخلات!$J$55,""))),"")</f>
        <v/>
      </c>
      <c r="L300" s="6" t="str">
        <f>IF(B300&lt;&gt;"",IF(AND(المدخلات!$H$56="سنوي",MOD(B300,12)=0),المدخلات!$J$56,IF(AND(المدخلات!$H$56="القسط (الدفعة) الاول",B300=1),المدخلات!$J$56,IF(المدخلات!$H$56="شهري",المدخلات!$J$56,""))),"")</f>
        <v/>
      </c>
      <c r="M300" s="6" t="str">
        <f>IF(B300&lt;&gt;"",IF(AND(المدخلات!$H$57="سنوي",MOD(B300,12)=0),المدخلات!$J$57,IF(AND(المدخلات!$H$57="القسط (الدفعة) الاول",B300=1),المدخلات!$J$57,IF(المدخلات!$H$57="شهري",المدخلات!$J$57,""))),"")</f>
        <v/>
      </c>
      <c r="N300" s="6" t="str">
        <f>IF(B300&lt;&gt;"",IF(AND(المدخلات!$H$58="سنوي",MOD(B300,12)=0),المدخلات!$J$58,IF(AND(المدخلات!$H$58="القسط (الدفعة) الاول",B300=1),المدخلات!$J$58,IF(المدخلات!$H$58="شهري",المدخلات!$J$58,IF(AND(المدخلات!$H$58="End of the loan",B300=المدخلات!$E$58),المدخلات!$J$58,"")))),"")</f>
        <v/>
      </c>
      <c r="O300" s="6" t="str">
        <f t="shared" si="40"/>
        <v/>
      </c>
      <c r="P300" s="4" t="str">
        <f t="shared" si="41"/>
        <v/>
      </c>
      <c r="T300" s="9" t="str">
        <f t="shared" si="42"/>
        <v/>
      </c>
      <c r="U300" s="5" t="str">
        <f t="shared" si="43"/>
        <v xml:space="preserve"> </v>
      </c>
    </row>
    <row r="301" spans="2:21" x14ac:dyDescent="0.2">
      <c r="B301" s="16" t="str">
        <f t="shared" si="46"/>
        <v/>
      </c>
      <c r="C301" s="9" t="str">
        <f t="shared" si="47"/>
        <v/>
      </c>
      <c r="D301" s="6" t="str">
        <f>IFERROR((PPMT(المدخلات!$E$55/12,B301,$C$6,المدخلات!$E$54,-المدخلات!$E$65,0))," ")</f>
        <v xml:space="preserve"> </v>
      </c>
      <c r="E301" s="6" t="str">
        <f>IFERROR(((IPMT(المدخلات!$E$55/12,B301,$C$6,المدخلات!$E$54,-المدخلات!$E$65,0)))," ")</f>
        <v xml:space="preserve"> </v>
      </c>
      <c r="F301" s="6" t="str">
        <f t="shared" si="49"/>
        <v/>
      </c>
      <c r="G301" s="6" t="str">
        <f t="shared" si="48"/>
        <v/>
      </c>
      <c r="H301" s="6" t="str">
        <f t="shared" si="44"/>
        <v/>
      </c>
      <c r="I301" s="6" t="str">
        <f t="shared" si="45"/>
        <v/>
      </c>
      <c r="J301" s="6" t="str">
        <f>IF(B301&lt;&gt;"",IF(AND(المدخلات!$H$54="سنوي",MOD(B301,12)=0),المدخلات!$J$54,IF(AND(المدخلات!$H$54="القسط (الدفعة) الاول",B301=1),المدخلات!$J$54,IF(المدخلات!$H$54="شهري",المدخلات!$J$54,""))),"")</f>
        <v/>
      </c>
      <c r="K301" s="6" t="str">
        <f>IF(B301&lt;&gt;"",IF(AND(المدخلات!$H$55="سنوي",MOD(B301,12)=0),المدخلات!$J$55,IF(AND(المدخلات!$H$55="القسط (الدفعة) الاول",B301=1),المدخلات!$J$55,IF(المدخلات!$H$55="شهري",المدخلات!$J$55,""))),"")</f>
        <v/>
      </c>
      <c r="L301" s="6" t="str">
        <f>IF(B301&lt;&gt;"",IF(AND(المدخلات!$H$56="سنوي",MOD(B301,12)=0),المدخلات!$J$56,IF(AND(المدخلات!$H$56="القسط (الدفعة) الاول",B301=1),المدخلات!$J$56,IF(المدخلات!$H$56="شهري",المدخلات!$J$56,""))),"")</f>
        <v/>
      </c>
      <c r="M301" s="6" t="str">
        <f>IF(B301&lt;&gt;"",IF(AND(المدخلات!$H$57="سنوي",MOD(B301,12)=0),المدخلات!$J$57,IF(AND(المدخلات!$H$57="القسط (الدفعة) الاول",B301=1),المدخلات!$J$57,IF(المدخلات!$H$57="شهري",المدخلات!$J$57,""))),"")</f>
        <v/>
      </c>
      <c r="N301" s="6" t="str">
        <f>IF(B301&lt;&gt;"",IF(AND(المدخلات!$H$58="سنوي",MOD(B301,12)=0),المدخلات!$J$58,IF(AND(المدخلات!$H$58="القسط (الدفعة) الاول",B301=1),المدخلات!$J$58,IF(المدخلات!$H$58="شهري",المدخلات!$J$58,IF(AND(المدخلات!$H$58="End of the loan",B301=المدخلات!$E$58),المدخلات!$J$58,"")))),"")</f>
        <v/>
      </c>
      <c r="O301" s="6" t="str">
        <f t="shared" si="40"/>
        <v/>
      </c>
      <c r="P301" s="4" t="str">
        <f t="shared" si="41"/>
        <v/>
      </c>
      <c r="T301" s="9" t="str">
        <f t="shared" si="42"/>
        <v/>
      </c>
      <c r="U301" s="5" t="str">
        <f t="shared" si="43"/>
        <v xml:space="preserve"> </v>
      </c>
    </row>
    <row r="302" spans="2:21" x14ac:dyDescent="0.2">
      <c r="B302" s="16" t="str">
        <f t="shared" si="46"/>
        <v/>
      </c>
      <c r="C302" s="9" t="str">
        <f t="shared" si="47"/>
        <v/>
      </c>
      <c r="D302" s="6" t="str">
        <f>IFERROR((PPMT(المدخلات!$E$55/12,B302,$C$6,المدخلات!$E$54,-المدخلات!$E$65,0))," ")</f>
        <v xml:space="preserve"> </v>
      </c>
      <c r="E302" s="6" t="str">
        <f>IFERROR(((IPMT(المدخلات!$E$55/12,B302,$C$6,المدخلات!$E$54,-المدخلات!$E$65,0)))," ")</f>
        <v xml:space="preserve"> </v>
      </c>
      <c r="F302" s="6" t="str">
        <f t="shared" si="49"/>
        <v/>
      </c>
      <c r="G302" s="6" t="str">
        <f t="shared" si="48"/>
        <v/>
      </c>
      <c r="H302" s="6" t="str">
        <f t="shared" si="44"/>
        <v/>
      </c>
      <c r="I302" s="6" t="str">
        <f t="shared" si="45"/>
        <v/>
      </c>
      <c r="J302" s="6" t="str">
        <f>IF(B302&lt;&gt;"",IF(AND(المدخلات!$H$54="سنوي",MOD(B302,12)=0),المدخلات!$J$54,IF(AND(المدخلات!$H$54="القسط (الدفعة) الاول",B302=1),المدخلات!$J$54,IF(المدخلات!$H$54="شهري",المدخلات!$J$54,""))),"")</f>
        <v/>
      </c>
      <c r="K302" s="6" t="str">
        <f>IF(B302&lt;&gt;"",IF(AND(المدخلات!$H$55="سنوي",MOD(B302,12)=0),المدخلات!$J$55,IF(AND(المدخلات!$H$55="القسط (الدفعة) الاول",B302=1),المدخلات!$J$55,IF(المدخلات!$H$55="شهري",المدخلات!$J$55,""))),"")</f>
        <v/>
      </c>
      <c r="L302" s="6" t="str">
        <f>IF(B302&lt;&gt;"",IF(AND(المدخلات!$H$56="سنوي",MOD(B302,12)=0),المدخلات!$J$56,IF(AND(المدخلات!$H$56="القسط (الدفعة) الاول",B302=1),المدخلات!$J$56,IF(المدخلات!$H$56="شهري",المدخلات!$J$56,""))),"")</f>
        <v/>
      </c>
      <c r="M302" s="6" t="str">
        <f>IF(B302&lt;&gt;"",IF(AND(المدخلات!$H$57="سنوي",MOD(B302,12)=0),المدخلات!$J$57,IF(AND(المدخلات!$H$57="القسط (الدفعة) الاول",B302=1),المدخلات!$J$57,IF(المدخلات!$H$57="شهري",المدخلات!$J$57,""))),"")</f>
        <v/>
      </c>
      <c r="N302" s="6" t="str">
        <f>IF(B302&lt;&gt;"",IF(AND(المدخلات!$H$58="سنوي",MOD(B302,12)=0),المدخلات!$J$58,IF(AND(المدخلات!$H$58="القسط (الدفعة) الاول",B302=1),المدخلات!$J$58,IF(المدخلات!$H$58="شهري",المدخلات!$J$58,IF(AND(المدخلات!$H$58="End of the loan",B302=المدخلات!$E$58),المدخلات!$J$58,"")))),"")</f>
        <v/>
      </c>
      <c r="O302" s="6" t="str">
        <f t="shared" si="40"/>
        <v/>
      </c>
      <c r="P302" s="4" t="str">
        <f t="shared" si="41"/>
        <v/>
      </c>
      <c r="T302" s="9" t="str">
        <f t="shared" si="42"/>
        <v/>
      </c>
      <c r="U302" s="5" t="str">
        <f t="shared" si="43"/>
        <v xml:space="preserve"> </v>
      </c>
    </row>
    <row r="303" spans="2:21" x14ac:dyDescent="0.2">
      <c r="B303" s="16" t="str">
        <f t="shared" si="46"/>
        <v/>
      </c>
      <c r="C303" s="9" t="str">
        <f t="shared" si="47"/>
        <v/>
      </c>
      <c r="D303" s="6" t="str">
        <f>IFERROR((PPMT(المدخلات!$E$55/12,B303,$C$6,المدخلات!$E$54,-المدخلات!$E$65,0))," ")</f>
        <v xml:space="preserve"> </v>
      </c>
      <c r="E303" s="6" t="str">
        <f>IFERROR(((IPMT(المدخلات!$E$55/12,B303,$C$6,المدخلات!$E$54,-المدخلات!$E$65,0)))," ")</f>
        <v xml:space="preserve"> </v>
      </c>
      <c r="F303" s="6" t="str">
        <f t="shared" si="49"/>
        <v/>
      </c>
      <c r="G303" s="6" t="str">
        <f t="shared" si="48"/>
        <v/>
      </c>
      <c r="H303" s="6" t="str">
        <f t="shared" si="44"/>
        <v/>
      </c>
      <c r="I303" s="6" t="str">
        <f t="shared" si="45"/>
        <v/>
      </c>
      <c r="J303" s="6" t="str">
        <f>IF(B303&lt;&gt;"",IF(AND(المدخلات!$H$54="سنوي",MOD(B303,12)=0),المدخلات!$J$54,IF(AND(المدخلات!$H$54="القسط (الدفعة) الاول",B303=1),المدخلات!$J$54,IF(المدخلات!$H$54="شهري",المدخلات!$J$54,""))),"")</f>
        <v/>
      </c>
      <c r="K303" s="6" t="str">
        <f>IF(B303&lt;&gt;"",IF(AND(المدخلات!$H$55="سنوي",MOD(B303,12)=0),المدخلات!$J$55,IF(AND(المدخلات!$H$55="القسط (الدفعة) الاول",B303=1),المدخلات!$J$55,IF(المدخلات!$H$55="شهري",المدخلات!$J$55,""))),"")</f>
        <v/>
      </c>
      <c r="L303" s="6" t="str">
        <f>IF(B303&lt;&gt;"",IF(AND(المدخلات!$H$56="سنوي",MOD(B303,12)=0),المدخلات!$J$56,IF(AND(المدخلات!$H$56="القسط (الدفعة) الاول",B303=1),المدخلات!$J$56,IF(المدخلات!$H$56="شهري",المدخلات!$J$56,""))),"")</f>
        <v/>
      </c>
      <c r="M303" s="6" t="str">
        <f>IF(B303&lt;&gt;"",IF(AND(المدخلات!$H$57="سنوي",MOD(B303,12)=0),المدخلات!$J$57,IF(AND(المدخلات!$H$57="القسط (الدفعة) الاول",B303=1),المدخلات!$J$57,IF(المدخلات!$H$57="شهري",المدخلات!$J$57,""))),"")</f>
        <v/>
      </c>
      <c r="N303" s="6" t="str">
        <f>IF(B303&lt;&gt;"",IF(AND(المدخلات!$H$58="سنوي",MOD(B303,12)=0),المدخلات!$J$58,IF(AND(المدخلات!$H$58="القسط (الدفعة) الاول",B303=1),المدخلات!$J$58,IF(المدخلات!$H$58="شهري",المدخلات!$J$58,IF(AND(المدخلات!$H$58="End of the loan",B303=المدخلات!$E$58),المدخلات!$J$58,"")))),"")</f>
        <v/>
      </c>
      <c r="O303" s="6" t="str">
        <f t="shared" si="40"/>
        <v/>
      </c>
      <c r="P303" s="4" t="str">
        <f t="shared" si="41"/>
        <v/>
      </c>
      <c r="T303" s="9" t="str">
        <f t="shared" si="42"/>
        <v/>
      </c>
      <c r="U303" s="5" t="str">
        <f t="shared" si="43"/>
        <v xml:space="preserve"> </v>
      </c>
    </row>
    <row r="304" spans="2:21" x14ac:dyDescent="0.2">
      <c r="B304" s="16" t="str">
        <f t="shared" si="46"/>
        <v/>
      </c>
      <c r="C304" s="9" t="str">
        <f t="shared" si="47"/>
        <v/>
      </c>
      <c r="D304" s="6" t="str">
        <f>IFERROR((PPMT(المدخلات!$E$55/12,B304,$C$6,المدخلات!$E$54,-المدخلات!$E$65,0))," ")</f>
        <v xml:space="preserve"> </v>
      </c>
      <c r="E304" s="6" t="str">
        <f>IFERROR(((IPMT(المدخلات!$E$55/12,B304,$C$6,المدخلات!$E$54,-المدخلات!$E$65,0)))," ")</f>
        <v xml:space="preserve"> </v>
      </c>
      <c r="F304" s="6" t="str">
        <f t="shared" si="49"/>
        <v/>
      </c>
      <c r="G304" s="6" t="str">
        <f t="shared" si="48"/>
        <v/>
      </c>
      <c r="H304" s="6" t="str">
        <f t="shared" si="44"/>
        <v/>
      </c>
      <c r="I304" s="6" t="str">
        <f t="shared" si="45"/>
        <v/>
      </c>
      <c r="J304" s="6" t="str">
        <f>IF(B304&lt;&gt;"",IF(AND(المدخلات!$H$54="سنوي",MOD(B304,12)=0),المدخلات!$J$54,IF(AND(المدخلات!$H$54="القسط (الدفعة) الاول",B304=1),المدخلات!$J$54,IF(المدخلات!$H$54="شهري",المدخلات!$J$54,""))),"")</f>
        <v/>
      </c>
      <c r="K304" s="6" t="str">
        <f>IF(B304&lt;&gt;"",IF(AND(المدخلات!$H$55="سنوي",MOD(B304,12)=0),المدخلات!$J$55,IF(AND(المدخلات!$H$55="القسط (الدفعة) الاول",B304=1),المدخلات!$J$55,IF(المدخلات!$H$55="شهري",المدخلات!$J$55,""))),"")</f>
        <v/>
      </c>
      <c r="L304" s="6" t="str">
        <f>IF(B304&lt;&gt;"",IF(AND(المدخلات!$H$56="سنوي",MOD(B304,12)=0),المدخلات!$J$56,IF(AND(المدخلات!$H$56="القسط (الدفعة) الاول",B304=1),المدخلات!$J$56,IF(المدخلات!$H$56="شهري",المدخلات!$J$56,""))),"")</f>
        <v/>
      </c>
      <c r="M304" s="6" t="str">
        <f>IF(B304&lt;&gt;"",IF(AND(المدخلات!$H$57="سنوي",MOD(B304,12)=0),المدخلات!$J$57,IF(AND(المدخلات!$H$57="القسط (الدفعة) الاول",B304=1),المدخلات!$J$57,IF(المدخلات!$H$57="شهري",المدخلات!$J$57,""))),"")</f>
        <v/>
      </c>
      <c r="N304" s="6" t="str">
        <f>IF(B304&lt;&gt;"",IF(AND(المدخلات!$H$58="سنوي",MOD(B304,12)=0),المدخلات!$J$58,IF(AND(المدخلات!$H$58="القسط (الدفعة) الاول",B304=1),المدخلات!$J$58,IF(المدخلات!$H$58="شهري",المدخلات!$J$58,IF(AND(المدخلات!$H$58="End of the loan",B304=المدخلات!$E$58),المدخلات!$J$58,"")))),"")</f>
        <v/>
      </c>
      <c r="O304" s="6" t="str">
        <f t="shared" si="40"/>
        <v/>
      </c>
      <c r="P304" s="4" t="str">
        <f t="shared" si="41"/>
        <v/>
      </c>
      <c r="T304" s="9" t="str">
        <f t="shared" si="42"/>
        <v/>
      </c>
      <c r="U304" s="5" t="str">
        <f t="shared" si="43"/>
        <v xml:space="preserve"> </v>
      </c>
    </row>
    <row r="305" spans="2:22" x14ac:dyDescent="0.2">
      <c r="B305" s="16" t="str">
        <f t="shared" si="46"/>
        <v/>
      </c>
      <c r="C305" s="9" t="str">
        <f t="shared" si="47"/>
        <v/>
      </c>
      <c r="D305" s="6" t="str">
        <f>IFERROR((PPMT(المدخلات!$E$55/12,B305,$C$6,المدخلات!$E$54,-المدخلات!$E$65,0))," ")</f>
        <v xml:space="preserve"> </v>
      </c>
      <c r="E305" s="6" t="str">
        <f>IFERROR(((IPMT(المدخلات!$E$55/12,B305,$C$6,المدخلات!$E$54,-المدخلات!$E$65,0)))," ")</f>
        <v xml:space="preserve"> </v>
      </c>
      <c r="F305" s="6" t="str">
        <f t="shared" si="49"/>
        <v/>
      </c>
      <c r="G305" s="6" t="str">
        <f t="shared" si="48"/>
        <v/>
      </c>
      <c r="H305" s="6" t="str">
        <f t="shared" si="44"/>
        <v/>
      </c>
      <c r="I305" s="6" t="str">
        <f t="shared" si="45"/>
        <v/>
      </c>
      <c r="J305" s="6" t="str">
        <f>IF(B305&lt;&gt;"",IF(AND(المدخلات!$H$54="سنوي",MOD(B305,12)=0),المدخلات!$J$54,IF(AND(المدخلات!$H$54="القسط (الدفعة) الاول",B305=1),المدخلات!$J$54,IF(المدخلات!$H$54="شهري",المدخلات!$J$54,""))),"")</f>
        <v/>
      </c>
      <c r="K305" s="6" t="str">
        <f>IF(B305&lt;&gt;"",IF(AND(المدخلات!$H$55="سنوي",MOD(B305,12)=0),المدخلات!$J$55,IF(AND(المدخلات!$H$55="القسط (الدفعة) الاول",B305=1),المدخلات!$J$55,IF(المدخلات!$H$55="شهري",المدخلات!$J$55,""))),"")</f>
        <v/>
      </c>
      <c r="L305" s="6" t="str">
        <f>IF(B305&lt;&gt;"",IF(AND(المدخلات!$H$56="سنوي",MOD(B305,12)=0),المدخلات!$J$56,IF(AND(المدخلات!$H$56="القسط (الدفعة) الاول",B305=1),المدخلات!$J$56,IF(المدخلات!$H$56="شهري",المدخلات!$J$56,""))),"")</f>
        <v/>
      </c>
      <c r="M305" s="6" t="str">
        <f>IF(B305&lt;&gt;"",IF(AND(المدخلات!$H$57="سنوي",MOD(B305,12)=0),المدخلات!$J$57,IF(AND(المدخلات!$H$57="القسط (الدفعة) الاول",B305=1),المدخلات!$J$57,IF(المدخلات!$H$57="شهري",المدخلات!$J$57,""))),"")</f>
        <v/>
      </c>
      <c r="N305" s="6" t="str">
        <f>IF(B305&lt;&gt;"",IF(AND(المدخلات!$H$58="سنوي",MOD(B305,12)=0),المدخلات!$J$58,IF(AND(المدخلات!$H$58="القسط (الدفعة) الاول",B305=1),المدخلات!$J$58,IF(المدخلات!$H$58="شهري",المدخلات!$J$58,IF(AND(المدخلات!$H$58="End of the loan",B305=المدخلات!$E$58),المدخلات!$J$58,"")))),"")</f>
        <v/>
      </c>
      <c r="O305" s="6" t="str">
        <f t="shared" si="40"/>
        <v/>
      </c>
      <c r="P305" s="4" t="str">
        <f t="shared" si="41"/>
        <v/>
      </c>
      <c r="T305" s="9" t="str">
        <f t="shared" si="42"/>
        <v/>
      </c>
      <c r="U305" s="5" t="str">
        <f t="shared" si="43"/>
        <v xml:space="preserve"> </v>
      </c>
    </row>
    <row r="306" spans="2:22" x14ac:dyDescent="0.2">
      <c r="B306" s="16" t="str">
        <f t="shared" si="46"/>
        <v/>
      </c>
      <c r="C306" s="9" t="str">
        <f t="shared" si="47"/>
        <v/>
      </c>
      <c r="D306" s="6" t="str">
        <f>IFERROR((PPMT(المدخلات!$E$55/12,B306,$C$6,المدخلات!$E$54,-المدخلات!$E$65,0))," ")</f>
        <v xml:space="preserve"> </v>
      </c>
      <c r="E306" s="6" t="str">
        <f>IFERROR(((IPMT(المدخلات!$E$55/12,B306,$C$6,المدخلات!$E$54,-المدخلات!$E$65,0)))," ")</f>
        <v xml:space="preserve"> </v>
      </c>
      <c r="F306" s="6" t="str">
        <f t="shared" si="49"/>
        <v/>
      </c>
      <c r="G306" s="6" t="str">
        <f t="shared" si="48"/>
        <v/>
      </c>
      <c r="H306" s="6" t="str">
        <f t="shared" si="44"/>
        <v/>
      </c>
      <c r="I306" s="6" t="str">
        <f t="shared" si="45"/>
        <v/>
      </c>
      <c r="J306" s="6" t="str">
        <f>IF(B306&lt;&gt;"",IF(AND(المدخلات!$H$54="سنوي",MOD(B306,12)=0),المدخلات!$J$54,IF(AND(المدخلات!$H$54="القسط (الدفعة) الاول",B306=1),المدخلات!$J$54,IF(المدخلات!$H$54="شهري",المدخلات!$J$54,""))),"")</f>
        <v/>
      </c>
      <c r="K306" s="6" t="str">
        <f>IF(B306&lt;&gt;"",IF(AND(المدخلات!$H$55="سنوي",MOD(B306,12)=0),المدخلات!$J$55,IF(AND(المدخلات!$H$55="القسط (الدفعة) الاول",B306=1),المدخلات!$J$55,IF(المدخلات!$H$55="شهري",المدخلات!$J$55,""))),"")</f>
        <v/>
      </c>
      <c r="L306" s="6" t="str">
        <f>IF(B306&lt;&gt;"",IF(AND(المدخلات!$H$56="سنوي",MOD(B306,12)=0),المدخلات!$J$56,IF(AND(المدخلات!$H$56="القسط (الدفعة) الاول",B306=1),المدخلات!$J$56,IF(المدخلات!$H$56="شهري",المدخلات!$J$56,""))),"")</f>
        <v/>
      </c>
      <c r="M306" s="6" t="str">
        <f>IF(B306&lt;&gt;"",IF(AND(المدخلات!$H$57="سنوي",MOD(B306,12)=0),المدخلات!$J$57,IF(AND(المدخلات!$H$57="القسط (الدفعة) الاول",B306=1),المدخلات!$J$57,IF(المدخلات!$H$57="شهري",المدخلات!$J$57,""))),"")</f>
        <v/>
      </c>
      <c r="N306" s="6" t="str">
        <f>IF(B306&lt;&gt;"",IF(AND(المدخلات!$H$58="سنوي",MOD(B306,12)=0),المدخلات!$J$58,IF(AND(المدخلات!$H$58="القسط (الدفعة) الاول",B306=1),المدخلات!$J$58,IF(المدخلات!$H$58="شهري",المدخلات!$J$58,IF(AND(المدخلات!$H$58="End of the loan",B306=المدخلات!$E$58),المدخلات!$J$58,"")))),"")</f>
        <v/>
      </c>
      <c r="O306" s="6" t="str">
        <f t="shared" si="40"/>
        <v/>
      </c>
      <c r="P306" s="4" t="str">
        <f t="shared" si="41"/>
        <v/>
      </c>
      <c r="T306" s="9" t="str">
        <f t="shared" si="42"/>
        <v/>
      </c>
      <c r="U306" s="5" t="str">
        <f t="shared" si="43"/>
        <v xml:space="preserve"> </v>
      </c>
    </row>
    <row r="307" spans="2:22" x14ac:dyDescent="0.2">
      <c r="B307" s="16" t="str">
        <f t="shared" si="46"/>
        <v/>
      </c>
      <c r="C307" s="9" t="str">
        <f t="shared" si="47"/>
        <v/>
      </c>
      <c r="D307" s="6" t="str">
        <f>IFERROR((PPMT(المدخلات!$E$55/12,B307,$C$6,المدخلات!$E$54,-المدخلات!$E$65,0))," ")</f>
        <v xml:space="preserve"> </v>
      </c>
      <c r="E307" s="6" t="str">
        <f>IFERROR(((IPMT(المدخلات!$E$55/12,B307,$C$6,المدخلات!$E$54,-المدخلات!$E$65,0)))," ")</f>
        <v xml:space="preserve"> </v>
      </c>
      <c r="F307" s="6" t="str">
        <f t="shared" si="49"/>
        <v/>
      </c>
      <c r="G307" s="6" t="str">
        <f t="shared" si="48"/>
        <v/>
      </c>
      <c r="H307" s="6" t="str">
        <f t="shared" si="44"/>
        <v/>
      </c>
      <c r="I307" s="6" t="str">
        <f t="shared" si="45"/>
        <v/>
      </c>
      <c r="J307" s="6" t="str">
        <f>IF(B307&lt;&gt;"",IF(AND(المدخلات!$H$54="سنوي",MOD(B307,12)=0),المدخلات!$J$54,IF(AND(المدخلات!$H$54="القسط (الدفعة) الاول",B307=1),المدخلات!$J$54,IF(المدخلات!$H$54="شهري",المدخلات!$J$54,""))),"")</f>
        <v/>
      </c>
      <c r="K307" s="6" t="str">
        <f>IF(B307&lt;&gt;"",IF(AND(المدخلات!$H$55="سنوي",MOD(B307,12)=0),المدخلات!$J$55,IF(AND(المدخلات!$H$55="القسط (الدفعة) الاول",B307=1),المدخلات!$J$55,IF(المدخلات!$H$55="شهري",المدخلات!$J$55,""))),"")</f>
        <v/>
      </c>
      <c r="L307" s="6" t="str">
        <f>IF(B307&lt;&gt;"",IF(AND(المدخلات!$H$56="سنوي",MOD(B307,12)=0),المدخلات!$J$56,IF(AND(المدخلات!$H$56="القسط (الدفعة) الاول",B307=1),المدخلات!$J$56,IF(المدخلات!$H$56="شهري",المدخلات!$J$56,""))),"")</f>
        <v/>
      </c>
      <c r="M307" s="6" t="str">
        <f>IF(B307&lt;&gt;"",IF(AND(المدخلات!$H$57="سنوي",MOD(B307,12)=0),المدخلات!$J$57,IF(AND(المدخلات!$H$57="القسط (الدفعة) الاول",B307=1),المدخلات!$J$57,IF(المدخلات!$H$57="شهري",المدخلات!$J$57,""))),"")</f>
        <v/>
      </c>
      <c r="N307" s="6" t="str">
        <f>IF(B307&lt;&gt;"",IF(AND(المدخلات!$H$58="سنوي",MOD(B307,12)=0),المدخلات!$J$58,IF(AND(المدخلات!$H$58="القسط (الدفعة) الاول",B307=1),المدخلات!$J$58,IF(المدخلات!$H$58="شهري",المدخلات!$J$58,IF(AND(المدخلات!$H$58="End of the loan",B307=المدخلات!$E$58),المدخلات!$J$58,"")))),"")</f>
        <v/>
      </c>
      <c r="O307" s="6" t="str">
        <f t="shared" si="40"/>
        <v/>
      </c>
      <c r="P307" s="4" t="str">
        <f t="shared" si="41"/>
        <v/>
      </c>
      <c r="T307" s="9" t="str">
        <f t="shared" si="42"/>
        <v/>
      </c>
      <c r="U307" s="5" t="str">
        <f t="shared" si="43"/>
        <v xml:space="preserve"> </v>
      </c>
    </row>
    <row r="308" spans="2:22" x14ac:dyDescent="0.2">
      <c r="B308" s="16" t="str">
        <f t="shared" si="46"/>
        <v/>
      </c>
      <c r="C308" s="9" t="str">
        <f t="shared" si="47"/>
        <v/>
      </c>
      <c r="D308" s="6" t="str">
        <f>IFERROR((PPMT(المدخلات!$E$55/12,B308,$C$6,المدخلات!$E$54,-المدخلات!$E$65,0))," ")</f>
        <v xml:space="preserve"> </v>
      </c>
      <c r="E308" s="6" t="str">
        <f>IFERROR(((IPMT(المدخلات!$E$55/12,B308,$C$6,المدخلات!$E$54,-المدخلات!$E$65,0)))," ")</f>
        <v xml:space="preserve"> </v>
      </c>
      <c r="F308" s="6" t="str">
        <f t="shared" si="49"/>
        <v/>
      </c>
      <c r="G308" s="6" t="str">
        <f t="shared" si="48"/>
        <v/>
      </c>
      <c r="H308" s="6" t="str">
        <f t="shared" si="44"/>
        <v/>
      </c>
      <c r="I308" s="6" t="str">
        <f t="shared" si="45"/>
        <v/>
      </c>
      <c r="J308" s="6" t="str">
        <f>IF(B308&lt;&gt;"",IF(AND(المدخلات!$H$54="سنوي",MOD(B308,12)=0),المدخلات!$J$54,IF(AND(المدخلات!$H$54="القسط (الدفعة) الاول",B308=1),المدخلات!$J$54,IF(المدخلات!$H$54="شهري",المدخلات!$J$54,""))),"")</f>
        <v/>
      </c>
      <c r="K308" s="6" t="str">
        <f>IF(B308&lt;&gt;"",IF(AND(المدخلات!$H$55="سنوي",MOD(B308,12)=0),المدخلات!$J$55,IF(AND(المدخلات!$H$55="القسط (الدفعة) الاول",B308=1),المدخلات!$J$55,IF(المدخلات!$H$55="شهري",المدخلات!$J$55,""))),"")</f>
        <v/>
      </c>
      <c r="L308" s="6" t="str">
        <f>IF(B308&lt;&gt;"",IF(AND(المدخلات!$H$56="سنوي",MOD(B308,12)=0),المدخلات!$J$56,IF(AND(المدخلات!$H$56="القسط (الدفعة) الاول",B308=1),المدخلات!$J$56,IF(المدخلات!$H$56="شهري",المدخلات!$J$56,""))),"")</f>
        <v/>
      </c>
      <c r="M308" s="6" t="str">
        <f>IF(B308&lt;&gt;"",IF(AND(المدخلات!$H$57="سنوي",MOD(B308,12)=0),المدخلات!$J$57,IF(AND(المدخلات!$H$57="القسط (الدفعة) الاول",B308=1),المدخلات!$J$57,IF(المدخلات!$H$57="شهري",المدخلات!$J$57,""))),"")</f>
        <v/>
      </c>
      <c r="N308" s="6" t="str">
        <f>IF(B308&lt;&gt;"",IF(AND(المدخلات!$H$58="سنوي",MOD(B308,12)=0),المدخلات!$J$58,IF(AND(المدخلات!$H$58="القسط (الدفعة) الاول",B308=1),المدخلات!$J$58,IF(المدخلات!$H$58="شهري",المدخلات!$J$58,IF(AND(المدخلات!$H$58="End of the loan",B308=المدخلات!$E$58),المدخلات!$J$58,"")))),"")</f>
        <v/>
      </c>
      <c r="O308" s="6" t="str">
        <f t="shared" si="40"/>
        <v/>
      </c>
      <c r="P308" s="4" t="str">
        <f t="shared" si="41"/>
        <v/>
      </c>
      <c r="T308" s="9" t="str">
        <f t="shared" si="42"/>
        <v/>
      </c>
      <c r="U308" s="5" t="str">
        <f t="shared" si="43"/>
        <v xml:space="preserve"> </v>
      </c>
    </row>
    <row r="309" spans="2:22" x14ac:dyDescent="0.2">
      <c r="B309" s="16" t="str">
        <f t="shared" si="46"/>
        <v/>
      </c>
      <c r="C309" s="9" t="str">
        <f t="shared" si="47"/>
        <v/>
      </c>
      <c r="D309" s="6" t="str">
        <f>IFERROR((PPMT(المدخلات!$E$55/12,B309,$C$6,المدخلات!$E$54,-المدخلات!$E$65,0))," ")</f>
        <v xml:space="preserve"> </v>
      </c>
      <c r="E309" s="6" t="str">
        <f>IFERROR(((IPMT(المدخلات!$E$55/12,B309,$C$6,المدخلات!$E$54,-المدخلات!$E$65,0)))," ")</f>
        <v xml:space="preserve"> </v>
      </c>
      <c r="F309" s="6" t="str">
        <f t="shared" si="49"/>
        <v/>
      </c>
      <c r="G309" s="6" t="str">
        <f t="shared" si="48"/>
        <v/>
      </c>
      <c r="H309" s="6" t="str">
        <f t="shared" si="44"/>
        <v/>
      </c>
      <c r="I309" s="6" t="str">
        <f t="shared" si="45"/>
        <v/>
      </c>
      <c r="J309" s="6" t="str">
        <f>IF(B309&lt;&gt;"",IF(AND(المدخلات!$H$54="سنوي",MOD(B309,12)=0),المدخلات!$J$54,IF(AND(المدخلات!$H$54="القسط (الدفعة) الاول",B309=1),المدخلات!$J$54,IF(المدخلات!$H$54="شهري",المدخلات!$J$54,""))),"")</f>
        <v/>
      </c>
      <c r="K309" s="6" t="str">
        <f>IF(B309&lt;&gt;"",IF(AND(المدخلات!$H$55="سنوي",MOD(B309,12)=0),المدخلات!$J$55,IF(AND(المدخلات!$H$55="القسط (الدفعة) الاول",B309=1),المدخلات!$J$55,IF(المدخلات!$H$55="شهري",المدخلات!$J$55,""))),"")</f>
        <v/>
      </c>
      <c r="L309" s="6" t="str">
        <f>IF(B309&lt;&gt;"",IF(AND(المدخلات!$H$56="سنوي",MOD(B309,12)=0),المدخلات!$J$56,IF(AND(المدخلات!$H$56="القسط (الدفعة) الاول",B309=1),المدخلات!$J$56,IF(المدخلات!$H$56="شهري",المدخلات!$J$56,""))),"")</f>
        <v/>
      </c>
      <c r="M309" s="6" t="str">
        <f>IF(B309&lt;&gt;"",IF(AND(المدخلات!$H$57="سنوي",MOD(B309,12)=0),المدخلات!$J$57,IF(AND(المدخلات!$H$57="القسط (الدفعة) الاول",B309=1),المدخلات!$J$57,IF(المدخلات!$H$57="شهري",المدخلات!$J$57,""))),"")</f>
        <v/>
      </c>
      <c r="N309" s="6" t="str">
        <f>IF(B309&lt;&gt;"",IF(AND(المدخلات!$H$58="سنوي",MOD(B309,12)=0),المدخلات!$J$58,IF(AND(المدخلات!$H$58="القسط (الدفعة) الاول",B309=1),المدخلات!$J$58,IF(المدخلات!$H$58="شهري",المدخلات!$J$58,IF(AND(المدخلات!$H$58="End of the loan",B309=المدخلات!$E$58),المدخلات!$J$58,"")))),"")</f>
        <v/>
      </c>
      <c r="O309" s="6" t="str">
        <f t="shared" si="40"/>
        <v/>
      </c>
      <c r="P309" s="4" t="str">
        <f t="shared" si="41"/>
        <v/>
      </c>
      <c r="T309" s="9" t="str">
        <f t="shared" si="42"/>
        <v/>
      </c>
      <c r="U309" s="5" t="str">
        <f t="shared" si="43"/>
        <v xml:space="preserve"> </v>
      </c>
    </row>
    <row r="310" spans="2:22" x14ac:dyDescent="0.2">
      <c r="B310" s="16" t="str">
        <f t="shared" si="46"/>
        <v/>
      </c>
      <c r="C310" s="9" t="str">
        <f t="shared" si="47"/>
        <v/>
      </c>
      <c r="D310" s="6" t="str">
        <f>IFERROR((PPMT(المدخلات!$E$55/12,B310,$C$6,المدخلات!$E$54,-المدخلات!$E$65,0))," ")</f>
        <v xml:space="preserve"> </v>
      </c>
      <c r="E310" s="6" t="str">
        <f>IFERROR(((IPMT(المدخلات!$E$55/12,B310,$C$6,المدخلات!$E$54,-المدخلات!$E$65,0)))," ")</f>
        <v xml:space="preserve"> </v>
      </c>
      <c r="F310" s="6" t="str">
        <f t="shared" si="49"/>
        <v/>
      </c>
      <c r="G310" s="6" t="str">
        <f t="shared" si="48"/>
        <v/>
      </c>
      <c r="H310" s="6" t="str">
        <f t="shared" si="44"/>
        <v/>
      </c>
      <c r="I310" s="6" t="str">
        <f t="shared" si="45"/>
        <v/>
      </c>
      <c r="J310" s="6" t="str">
        <f>IF(B310&lt;&gt;"",IF(AND(المدخلات!$H$54="سنوي",MOD(B310,12)=0),المدخلات!$J$54,IF(AND(المدخلات!$H$54="القسط (الدفعة) الاول",B310=1),المدخلات!$J$54,IF(المدخلات!$H$54="شهري",المدخلات!$J$54,""))),"")</f>
        <v/>
      </c>
      <c r="K310" s="6" t="str">
        <f>IF(B310&lt;&gt;"",IF(AND(المدخلات!$H$55="سنوي",MOD(B310,12)=0),المدخلات!$J$55,IF(AND(المدخلات!$H$55="القسط (الدفعة) الاول",B310=1),المدخلات!$J$55,IF(المدخلات!$H$55="شهري",المدخلات!$J$55,""))),"")</f>
        <v/>
      </c>
      <c r="L310" s="6" t="str">
        <f>IF(B310&lt;&gt;"",IF(AND(المدخلات!$H$56="سنوي",MOD(B310,12)=0),المدخلات!$J$56,IF(AND(المدخلات!$H$56="القسط (الدفعة) الاول",B310=1),المدخلات!$J$56,IF(المدخلات!$H$56="شهري",المدخلات!$J$56,""))),"")</f>
        <v/>
      </c>
      <c r="M310" s="6" t="str">
        <f>IF(B310&lt;&gt;"",IF(AND(المدخلات!$H$57="سنوي",MOD(B310,12)=0),المدخلات!$J$57,IF(AND(المدخلات!$H$57="القسط (الدفعة) الاول",B310=1),المدخلات!$J$57,IF(المدخلات!$H$57="شهري",المدخلات!$J$57,""))),"")</f>
        <v/>
      </c>
      <c r="N310" s="6" t="str">
        <f>IF(B310&lt;&gt;"",IF(AND(المدخلات!$H$58="سنوي",MOD(B310,12)=0),المدخلات!$J$58,IF(AND(المدخلات!$H$58="القسط (الدفعة) الاول",B310=1),المدخلات!$J$58,IF(المدخلات!$H$58="شهري",المدخلات!$J$58,IF(AND(المدخلات!$H$58="End of the loan",B310=المدخلات!$E$58),المدخلات!$J$58,"")))),"")</f>
        <v/>
      </c>
      <c r="O310" s="6" t="str">
        <f t="shared" si="40"/>
        <v/>
      </c>
      <c r="P310" s="4" t="str">
        <f t="shared" si="41"/>
        <v/>
      </c>
      <c r="T310" s="9" t="str">
        <f t="shared" si="42"/>
        <v/>
      </c>
      <c r="U310" s="5" t="str">
        <f t="shared" si="43"/>
        <v xml:space="preserve"> </v>
      </c>
    </row>
    <row r="311" spans="2:22" x14ac:dyDescent="0.2">
      <c r="B311" s="16" t="str">
        <f t="shared" si="46"/>
        <v/>
      </c>
      <c r="C311" s="9" t="str">
        <f t="shared" si="47"/>
        <v/>
      </c>
      <c r="D311" s="6" t="str">
        <f>IFERROR((PPMT(المدخلات!$E$55/12,B311,$C$6,المدخلات!$E$54,-المدخلات!$E$65,0))," ")</f>
        <v xml:space="preserve"> </v>
      </c>
      <c r="E311" s="6" t="str">
        <f>IFERROR(((IPMT(المدخلات!$E$55/12,B311,$C$6,المدخلات!$E$54,-المدخلات!$E$65,0)))," ")</f>
        <v xml:space="preserve"> </v>
      </c>
      <c r="F311" s="6" t="str">
        <f t="shared" si="49"/>
        <v/>
      </c>
      <c r="G311" s="6" t="str">
        <f t="shared" si="48"/>
        <v/>
      </c>
      <c r="H311" s="6" t="str">
        <f t="shared" si="44"/>
        <v/>
      </c>
      <c r="I311" s="6" t="str">
        <f t="shared" si="45"/>
        <v/>
      </c>
      <c r="J311" s="6" t="str">
        <f>IF(B311&lt;&gt;"",IF(AND(المدخلات!$H$54="سنوي",MOD(B311,12)=0),المدخلات!$J$54,IF(AND(المدخلات!$H$54="القسط (الدفعة) الاول",B311=1),المدخلات!$J$54,IF(المدخلات!$H$54="شهري",المدخلات!$J$54,""))),"")</f>
        <v/>
      </c>
      <c r="K311" s="6" t="str">
        <f>IF(B311&lt;&gt;"",IF(AND(المدخلات!$H$55="سنوي",MOD(B311,12)=0),المدخلات!$J$55,IF(AND(المدخلات!$H$55="القسط (الدفعة) الاول",B311=1),المدخلات!$J$55,IF(المدخلات!$H$55="شهري",المدخلات!$J$55,""))),"")</f>
        <v/>
      </c>
      <c r="L311" s="6" t="str">
        <f>IF(B311&lt;&gt;"",IF(AND(المدخلات!$H$56="سنوي",MOD(B311,12)=0),المدخلات!$J$56,IF(AND(المدخلات!$H$56="القسط (الدفعة) الاول",B311=1),المدخلات!$J$56,IF(المدخلات!$H$56="شهري",المدخلات!$J$56,""))),"")</f>
        <v/>
      </c>
      <c r="M311" s="6" t="str">
        <f>IF(B311&lt;&gt;"",IF(AND(المدخلات!$H$57="سنوي",MOD(B311,12)=0),المدخلات!$J$57,IF(AND(المدخلات!$H$57="القسط (الدفعة) الاول",B311=1),المدخلات!$J$57,IF(المدخلات!$H$57="شهري",المدخلات!$J$57,""))),"")</f>
        <v/>
      </c>
      <c r="N311" s="6" t="str">
        <f>IF(B311&lt;&gt;"",IF(AND(المدخلات!$H$58="سنوي",MOD(B311,12)=0),المدخلات!$J$58,IF(AND(المدخلات!$H$58="القسط (الدفعة) الاول",B311=1),المدخلات!$J$58,IF(المدخلات!$H$58="شهري",المدخلات!$J$58,IF(AND(المدخلات!$H$58="End of the loan",B311=المدخلات!$E$58),المدخلات!$J$58,"")))),"")</f>
        <v/>
      </c>
      <c r="O311" s="6" t="str">
        <f t="shared" si="40"/>
        <v/>
      </c>
      <c r="P311" s="4" t="str">
        <f t="shared" si="41"/>
        <v/>
      </c>
      <c r="T311" s="9" t="str">
        <f t="shared" si="42"/>
        <v/>
      </c>
      <c r="U311" s="5" t="str">
        <f t="shared" si="43"/>
        <v xml:space="preserve"> </v>
      </c>
    </row>
    <row r="312" spans="2:22" x14ac:dyDescent="0.2">
      <c r="B312" s="16" t="str">
        <f t="shared" si="46"/>
        <v/>
      </c>
      <c r="C312" s="9" t="str">
        <f t="shared" si="47"/>
        <v/>
      </c>
      <c r="D312" s="6" t="str">
        <f>IFERROR((PPMT(المدخلات!$E$55/12,B312,$C$6,المدخلات!$E$54,-المدخلات!$E$65,0))," ")</f>
        <v xml:space="preserve"> </v>
      </c>
      <c r="E312" s="6" t="str">
        <f>IFERROR(((IPMT(المدخلات!$E$55/12,B312,$C$6,المدخلات!$E$54,-المدخلات!$E$65,0)))," ")</f>
        <v xml:space="preserve"> </v>
      </c>
      <c r="F312" s="6" t="str">
        <f t="shared" si="49"/>
        <v/>
      </c>
      <c r="G312" s="6" t="str">
        <f t="shared" si="48"/>
        <v/>
      </c>
      <c r="H312" s="6" t="str">
        <f t="shared" si="44"/>
        <v/>
      </c>
      <c r="I312" s="6" t="str">
        <f t="shared" si="45"/>
        <v/>
      </c>
      <c r="J312" s="6" t="str">
        <f>IF(B312&lt;&gt;"",IF(AND(المدخلات!$H$54="سنوي",MOD(B312,12)=0),المدخلات!$J$54,IF(AND(المدخلات!$H$54="القسط (الدفعة) الاول",B312=1),المدخلات!$J$54,IF(المدخلات!$H$54="شهري",المدخلات!$J$54,""))),"")</f>
        <v/>
      </c>
      <c r="K312" s="6" t="str">
        <f>IF(B312&lt;&gt;"",IF(AND(المدخلات!$H$55="سنوي",MOD(B312,12)=0),المدخلات!$J$55,IF(AND(المدخلات!$H$55="القسط (الدفعة) الاول",B312=1),المدخلات!$J$55,IF(المدخلات!$H$55="شهري",المدخلات!$J$55,""))),"")</f>
        <v/>
      </c>
      <c r="L312" s="6" t="str">
        <f>IF(B312&lt;&gt;"",IF(AND(المدخلات!$H$56="سنوي",MOD(B312,12)=0),المدخلات!$J$56,IF(AND(المدخلات!$H$56="القسط (الدفعة) الاول",B312=1),المدخلات!$J$56,IF(المدخلات!$H$56="شهري",المدخلات!$J$56,""))),"")</f>
        <v/>
      </c>
      <c r="M312" s="6" t="str">
        <f>IF(B312&lt;&gt;"",IF(AND(المدخلات!$H$57="سنوي",MOD(B312,12)=0),المدخلات!$J$57,IF(AND(المدخلات!$H$57="القسط (الدفعة) الاول",B312=1),المدخلات!$J$57,IF(المدخلات!$H$57="شهري",المدخلات!$J$57,""))),"")</f>
        <v/>
      </c>
      <c r="N312" s="6" t="str">
        <f>IF(B312&lt;&gt;"",IF(AND(المدخلات!$H$58="سنوي",MOD(B312,12)=0),المدخلات!$J$58,IF(AND(المدخلات!$H$58="القسط (الدفعة) الاول",B312=1),المدخلات!$J$58,IF(المدخلات!$H$58="شهري",المدخلات!$J$58,IF(AND(المدخلات!$H$58="End of the loan",B312=المدخلات!$E$58),المدخلات!$J$58,"")))),"")</f>
        <v/>
      </c>
      <c r="O312" s="6" t="str">
        <f t="shared" si="40"/>
        <v/>
      </c>
      <c r="P312" s="4" t="str">
        <f t="shared" si="41"/>
        <v/>
      </c>
      <c r="T312" s="9" t="str">
        <f t="shared" si="42"/>
        <v/>
      </c>
      <c r="U312" s="5" t="str">
        <f t="shared" si="43"/>
        <v xml:space="preserve"> </v>
      </c>
    </row>
    <row r="313" spans="2:22" x14ac:dyDescent="0.2">
      <c r="B313" s="16" t="str">
        <f t="shared" si="46"/>
        <v/>
      </c>
      <c r="C313" s="9" t="str">
        <f t="shared" si="47"/>
        <v/>
      </c>
      <c r="D313" s="6" t="str">
        <f>IFERROR((PPMT(المدخلات!$E$55/12,B313,$C$6,المدخلات!$E$54,-المدخلات!$E$65,0))," ")</f>
        <v xml:space="preserve"> </v>
      </c>
      <c r="E313" s="6" t="str">
        <f>IFERROR(((IPMT(المدخلات!$E$55/12,B313,$C$6,المدخلات!$E$54,-المدخلات!$E$65,0)))," ")</f>
        <v xml:space="preserve"> </v>
      </c>
      <c r="F313" s="6" t="str">
        <f t="shared" si="49"/>
        <v/>
      </c>
      <c r="G313" s="6" t="str">
        <f t="shared" si="48"/>
        <v/>
      </c>
      <c r="H313" s="6" t="str">
        <f t="shared" si="44"/>
        <v/>
      </c>
      <c r="I313" s="6" t="str">
        <f t="shared" si="45"/>
        <v/>
      </c>
      <c r="J313" s="6" t="str">
        <f>IF(B313&lt;&gt;"",IF(AND(المدخلات!$H$54="سنوي",MOD(B313,12)=0),المدخلات!$J$54,IF(AND(المدخلات!$H$54="القسط (الدفعة) الاول",B313=1),المدخلات!$J$54,IF(المدخلات!$H$54="شهري",المدخلات!$J$54,""))),"")</f>
        <v/>
      </c>
      <c r="K313" s="6" t="str">
        <f>IF(B313&lt;&gt;"",IF(AND(المدخلات!$H$55="سنوي",MOD(B313,12)=0),المدخلات!$J$55,IF(AND(المدخلات!$H$55="القسط (الدفعة) الاول",B313=1),المدخلات!$J$55,IF(المدخلات!$H$55="شهري",المدخلات!$J$55,""))),"")</f>
        <v/>
      </c>
      <c r="L313" s="6" t="str">
        <f>IF(B313&lt;&gt;"",IF(AND(المدخلات!$H$56="سنوي",MOD(B313,12)=0),المدخلات!$J$56,IF(AND(المدخلات!$H$56="القسط (الدفعة) الاول",B313=1),المدخلات!$J$56,IF(المدخلات!$H$56="شهري",المدخلات!$J$56,""))),"")</f>
        <v/>
      </c>
      <c r="M313" s="6" t="str">
        <f>IF(B313&lt;&gt;"",IF(AND(المدخلات!$H$57="سنوي",MOD(B313,12)=0),المدخلات!$J$57,IF(AND(المدخلات!$H$57="القسط (الدفعة) الاول",B313=1),المدخلات!$J$57,IF(المدخلات!$H$57="شهري",المدخلات!$J$57,""))),"")</f>
        <v/>
      </c>
      <c r="N313" s="6" t="str">
        <f>IF(B313&lt;&gt;"",IF(AND(المدخلات!$H$58="سنوي",MOD(B313,12)=0),المدخلات!$J$58,IF(AND(المدخلات!$H$58="القسط (الدفعة) الاول",B313=1),المدخلات!$J$58,IF(المدخلات!$H$58="شهري",المدخلات!$J$58,IF(AND(المدخلات!$H$58="End of the loan",B313=المدخلات!$E$58),المدخلات!$J$58,"")))),"")</f>
        <v/>
      </c>
      <c r="O313" s="6" t="str">
        <f t="shared" si="40"/>
        <v/>
      </c>
      <c r="P313" s="4" t="str">
        <f t="shared" si="41"/>
        <v/>
      </c>
      <c r="T313" s="9" t="str">
        <f t="shared" si="42"/>
        <v/>
      </c>
      <c r="U313" s="5" t="str">
        <f t="shared" si="43"/>
        <v xml:space="preserve"> </v>
      </c>
    </row>
    <row r="314" spans="2:22" x14ac:dyDescent="0.2">
      <c r="B314" s="16" t="str">
        <f t="shared" si="46"/>
        <v/>
      </c>
      <c r="C314" s="9" t="str">
        <f t="shared" si="47"/>
        <v/>
      </c>
      <c r="D314" s="6" t="str">
        <f>IFERROR((PPMT(المدخلات!$E$55/12,B314,$C$6,المدخلات!$E$54,-المدخلات!$E$65,0))," ")</f>
        <v xml:space="preserve"> </v>
      </c>
      <c r="E314" s="6" t="str">
        <f>IFERROR(((IPMT(المدخلات!$E$55/12,B314,$C$6,المدخلات!$E$54,-المدخلات!$E$65,0)))," ")</f>
        <v xml:space="preserve"> </v>
      </c>
      <c r="F314" s="6" t="str">
        <f t="shared" si="49"/>
        <v/>
      </c>
      <c r="G314" s="6" t="str">
        <f t="shared" si="48"/>
        <v/>
      </c>
      <c r="H314" s="6" t="str">
        <f t="shared" si="44"/>
        <v/>
      </c>
      <c r="I314" s="6" t="str">
        <f t="shared" si="45"/>
        <v/>
      </c>
      <c r="J314" s="6" t="str">
        <f>IF(B314&lt;&gt;"",IF(AND(المدخلات!$H$54="سنوي",MOD(B314,12)=0),المدخلات!$J$54,IF(AND(المدخلات!$H$54="القسط (الدفعة) الاول",B314=1),المدخلات!$J$54,IF(المدخلات!$H$54="شهري",المدخلات!$J$54,""))),"")</f>
        <v/>
      </c>
      <c r="K314" s="6" t="str">
        <f>IF(B314&lt;&gt;"",IF(AND(المدخلات!$H$55="سنوي",MOD(B314,12)=0),المدخلات!$J$55,IF(AND(المدخلات!$H$55="القسط (الدفعة) الاول",B314=1),المدخلات!$J$55,IF(المدخلات!$H$55="شهري",المدخلات!$J$55,""))),"")</f>
        <v/>
      </c>
      <c r="L314" s="6" t="str">
        <f>IF(B314&lt;&gt;"",IF(AND(المدخلات!$H$56="سنوي",MOD(B314,12)=0),المدخلات!$J$56,IF(AND(المدخلات!$H$56="القسط (الدفعة) الاول",B314=1),المدخلات!$J$56,IF(المدخلات!$H$56="شهري",المدخلات!$J$56,""))),"")</f>
        <v/>
      </c>
      <c r="M314" s="6" t="str">
        <f>IF(B314&lt;&gt;"",IF(AND(المدخلات!$H$57="سنوي",MOD(B314,12)=0),المدخلات!$J$57,IF(AND(المدخلات!$H$57="القسط (الدفعة) الاول",B314=1),المدخلات!$J$57,IF(المدخلات!$H$57="شهري",المدخلات!$J$57,""))),"")</f>
        <v/>
      </c>
      <c r="N314" s="6" t="str">
        <f>IF(B314&lt;&gt;"",IF(AND(المدخلات!$H$58="سنوي",MOD(B314,12)=0),المدخلات!$J$58,IF(AND(المدخلات!$H$58="القسط (الدفعة) الاول",B314=1),المدخلات!$J$58,IF(المدخلات!$H$58="شهري",المدخلات!$J$58,IF(AND(المدخلات!$H$58="End of the loan",B314=المدخلات!$E$58),المدخلات!$J$58,"")))),"")</f>
        <v/>
      </c>
      <c r="O314" s="6" t="str">
        <f t="shared" si="40"/>
        <v/>
      </c>
      <c r="P314" s="4" t="str">
        <f t="shared" si="41"/>
        <v/>
      </c>
      <c r="T314" s="9" t="str">
        <f t="shared" si="42"/>
        <v/>
      </c>
      <c r="U314" s="5" t="str">
        <f t="shared" si="43"/>
        <v xml:space="preserve"> </v>
      </c>
    </row>
    <row r="315" spans="2:22" x14ac:dyDescent="0.2">
      <c r="B315" s="16" t="str">
        <f t="shared" si="46"/>
        <v/>
      </c>
      <c r="C315" s="9" t="str">
        <f t="shared" si="47"/>
        <v/>
      </c>
      <c r="D315" s="6" t="str">
        <f>IFERROR((PPMT(المدخلات!$E$55/12,B315,$C$6,المدخلات!$E$54,-المدخلات!$E$65,0))," ")</f>
        <v xml:space="preserve"> </v>
      </c>
      <c r="E315" s="6" t="str">
        <f>IFERROR(((IPMT(المدخلات!$E$55/12,B315,$C$6,المدخلات!$E$54,-المدخلات!$E$65,0)))," ")</f>
        <v xml:space="preserve"> </v>
      </c>
      <c r="F315" s="6" t="str">
        <f t="shared" si="49"/>
        <v/>
      </c>
      <c r="G315" s="6" t="str">
        <f t="shared" si="48"/>
        <v/>
      </c>
      <c r="H315" s="6" t="str">
        <f t="shared" si="44"/>
        <v/>
      </c>
      <c r="I315" s="6" t="str">
        <f t="shared" si="45"/>
        <v/>
      </c>
      <c r="J315" s="6" t="str">
        <f>IF(B315&lt;&gt;"",IF(AND(المدخلات!$H$54="سنوي",MOD(B315,12)=0),المدخلات!$J$54,IF(AND(المدخلات!$H$54="القسط (الدفعة) الاول",B315=1),المدخلات!$J$54,IF(المدخلات!$H$54="شهري",المدخلات!$J$54,""))),"")</f>
        <v/>
      </c>
      <c r="K315" s="6" t="str">
        <f>IF(B315&lt;&gt;"",IF(AND(المدخلات!$H$55="سنوي",MOD(B315,12)=0),المدخلات!$J$55,IF(AND(المدخلات!$H$55="القسط (الدفعة) الاول",B315=1),المدخلات!$J$55,IF(المدخلات!$H$55="شهري",المدخلات!$J$55,""))),"")</f>
        <v/>
      </c>
      <c r="L315" s="6" t="str">
        <f>IF(B315&lt;&gt;"",IF(AND(المدخلات!$H$56="سنوي",MOD(B315,12)=0),المدخلات!$J$56,IF(AND(المدخلات!$H$56="القسط (الدفعة) الاول",B315=1),المدخلات!$J$56,IF(المدخلات!$H$56="شهري",المدخلات!$J$56,""))),"")</f>
        <v/>
      </c>
      <c r="M315" s="6" t="str">
        <f>IF(B315&lt;&gt;"",IF(AND(المدخلات!$H$57="سنوي",MOD(B315,12)=0),المدخلات!$J$57,IF(AND(المدخلات!$H$57="القسط (الدفعة) الاول",B315=1),المدخلات!$J$57,IF(المدخلات!$H$57="شهري",المدخلات!$J$57,""))),"")</f>
        <v/>
      </c>
      <c r="N315" s="6" t="str">
        <f>IF(B315&lt;&gt;"",IF(AND(المدخلات!$H$58="سنوي",MOD(B315,12)=0),المدخلات!$J$58,IF(AND(المدخلات!$H$58="القسط (الدفعة) الاول",B315=1),المدخلات!$J$58,IF(المدخلات!$H$58="شهري",المدخلات!$J$58,IF(AND(المدخلات!$H$58="End of the loan",B315=المدخلات!$E$58),المدخلات!$J$58,"")))),"")</f>
        <v/>
      </c>
      <c r="O315" s="6" t="str">
        <f t="shared" si="40"/>
        <v/>
      </c>
      <c r="P315" s="4" t="str">
        <f t="shared" si="41"/>
        <v/>
      </c>
      <c r="T315" s="9" t="str">
        <f t="shared" si="42"/>
        <v/>
      </c>
      <c r="U315" s="5" t="str">
        <f t="shared" si="43"/>
        <v xml:space="preserve"> </v>
      </c>
    </row>
    <row r="316" spans="2:22" x14ac:dyDescent="0.2">
      <c r="B316" s="16" t="str">
        <f t="shared" si="46"/>
        <v/>
      </c>
      <c r="C316" s="9" t="str">
        <f t="shared" si="47"/>
        <v/>
      </c>
      <c r="D316" s="6" t="str">
        <f>IFERROR((PPMT(المدخلات!$E$55/12,B316,$C$6,المدخلات!$E$54,-المدخلات!$E$65,0))," ")</f>
        <v xml:space="preserve"> </v>
      </c>
      <c r="E316" s="6" t="str">
        <f>IFERROR(((IPMT(المدخلات!$E$55/12,B316,$C$6,المدخلات!$E$54,-المدخلات!$E$65,0)))," ")</f>
        <v xml:space="preserve"> </v>
      </c>
      <c r="F316" s="6" t="str">
        <f t="shared" si="49"/>
        <v/>
      </c>
      <c r="G316" s="6" t="str">
        <f t="shared" si="48"/>
        <v/>
      </c>
      <c r="H316" s="6" t="str">
        <f t="shared" si="44"/>
        <v/>
      </c>
      <c r="I316" s="6" t="str">
        <f t="shared" si="45"/>
        <v/>
      </c>
      <c r="J316" s="6" t="str">
        <f>IF(B316&lt;&gt;"",IF(AND(المدخلات!$H$54="سنوي",MOD(B316,12)=0),المدخلات!$J$54,IF(AND(المدخلات!$H$54="القسط (الدفعة) الاول",B316=1),المدخلات!$J$54,IF(المدخلات!$H$54="شهري",المدخلات!$J$54,""))),"")</f>
        <v/>
      </c>
      <c r="K316" s="6" t="str">
        <f>IF(B316&lt;&gt;"",IF(AND(المدخلات!$H$55="سنوي",MOD(B316,12)=0),المدخلات!$J$55,IF(AND(المدخلات!$H$55="القسط (الدفعة) الاول",B316=1),المدخلات!$J$55,IF(المدخلات!$H$55="شهري",المدخلات!$J$55,""))),"")</f>
        <v/>
      </c>
      <c r="L316" s="6" t="str">
        <f>IF(B316&lt;&gt;"",IF(AND(المدخلات!$H$56="سنوي",MOD(B316,12)=0),المدخلات!$J$56,IF(AND(المدخلات!$H$56="القسط (الدفعة) الاول",B316=1),المدخلات!$J$56,IF(المدخلات!$H$56="شهري",المدخلات!$J$56,""))),"")</f>
        <v/>
      </c>
      <c r="M316" s="6" t="str">
        <f>IF(B316&lt;&gt;"",IF(AND(المدخلات!$H$57="سنوي",MOD(B316,12)=0),المدخلات!$J$57,IF(AND(المدخلات!$H$57="القسط (الدفعة) الاول",B316=1),المدخلات!$J$57,IF(المدخلات!$H$57="شهري",المدخلات!$J$57,""))),"")</f>
        <v/>
      </c>
      <c r="N316" s="6" t="str">
        <f>IF(B316&lt;&gt;"",IF(AND(المدخلات!$H$58="سنوي",MOD(B316,12)=0),المدخلات!$J$58,IF(AND(المدخلات!$H$58="القسط (الدفعة) الاول",B316=1),المدخلات!$J$58,IF(المدخلات!$H$58="شهري",المدخلات!$J$58,IF(AND(المدخلات!$H$58="End of the loan",B316=المدخلات!$E$58),المدخلات!$J$58,"")))),"")</f>
        <v/>
      </c>
      <c r="O316" s="6" t="str">
        <f t="shared" si="40"/>
        <v/>
      </c>
      <c r="P316" s="4" t="str">
        <f t="shared" si="41"/>
        <v/>
      </c>
      <c r="T316" s="9" t="str">
        <f t="shared" si="42"/>
        <v/>
      </c>
      <c r="U316" s="5" t="str">
        <f t="shared" si="43"/>
        <v xml:space="preserve"> </v>
      </c>
    </row>
    <row r="317" spans="2:22" x14ac:dyDescent="0.2">
      <c r="B317" s="16" t="str">
        <f t="shared" si="46"/>
        <v/>
      </c>
      <c r="C317" s="9" t="str">
        <f t="shared" si="47"/>
        <v/>
      </c>
      <c r="D317" s="6" t="str">
        <f>IFERROR((PPMT(المدخلات!$E$55/12,B317,$C$6,المدخلات!$E$54,-المدخلات!$E$65,0))," ")</f>
        <v xml:space="preserve"> </v>
      </c>
      <c r="E317" s="6" t="str">
        <f>IFERROR(((IPMT(المدخلات!$E$55/12,B317,$C$6,المدخلات!$E$54,-المدخلات!$E$65,0)))," ")</f>
        <v xml:space="preserve"> </v>
      </c>
      <c r="F317" s="6" t="str">
        <f t="shared" si="49"/>
        <v/>
      </c>
      <c r="G317" s="6" t="str">
        <f t="shared" si="48"/>
        <v/>
      </c>
      <c r="H317" s="6" t="str">
        <f t="shared" si="44"/>
        <v/>
      </c>
      <c r="I317" s="6" t="str">
        <f t="shared" si="45"/>
        <v/>
      </c>
      <c r="J317" s="6" t="str">
        <f>IF(B317&lt;&gt;"",IF(AND(المدخلات!$H$54="سنوي",MOD(B317,12)=0),المدخلات!$J$54,IF(AND(المدخلات!$H$54="القسط (الدفعة) الاول",B317=1),المدخلات!$J$54,IF(المدخلات!$H$54="شهري",المدخلات!$J$54,""))),"")</f>
        <v/>
      </c>
      <c r="K317" s="6" t="str">
        <f>IF(B317&lt;&gt;"",IF(AND(المدخلات!$H$55="سنوي",MOD(B317,12)=0),المدخلات!$J$55,IF(AND(المدخلات!$H$55="القسط (الدفعة) الاول",B317=1),المدخلات!$J$55,IF(المدخلات!$H$55="شهري",المدخلات!$J$55,""))),"")</f>
        <v/>
      </c>
      <c r="L317" s="6" t="str">
        <f>IF(B317&lt;&gt;"",IF(AND(المدخلات!$H$56="سنوي",MOD(B317,12)=0),المدخلات!$J$56,IF(AND(المدخلات!$H$56="القسط (الدفعة) الاول",B317=1),المدخلات!$J$56,IF(المدخلات!$H$56="شهري",المدخلات!$J$56,""))),"")</f>
        <v/>
      </c>
      <c r="M317" s="6" t="str">
        <f>IF(B317&lt;&gt;"",IF(AND(المدخلات!$H$57="سنوي",MOD(B317,12)=0),المدخلات!$J$57,IF(AND(المدخلات!$H$57="القسط (الدفعة) الاول",B317=1),المدخلات!$J$57,IF(المدخلات!$H$57="شهري",المدخلات!$J$57,""))),"")</f>
        <v/>
      </c>
      <c r="N317" s="6" t="str">
        <f>IF(B317&lt;&gt;"",IF(AND(المدخلات!$H$58="سنوي",MOD(B317,12)=0),المدخلات!$J$58,IF(AND(المدخلات!$H$58="القسط (الدفعة) الاول",B317=1),المدخلات!$J$58,IF(المدخلات!$H$58="شهري",المدخلات!$J$58,IF(AND(المدخلات!$H$58="End of the loan",B317=المدخلات!$E$58),المدخلات!$J$58,"")))),"")</f>
        <v/>
      </c>
      <c r="O317" s="6" t="str">
        <f t="shared" si="40"/>
        <v/>
      </c>
      <c r="P317" s="4" t="str">
        <f t="shared" si="41"/>
        <v/>
      </c>
      <c r="T317" s="9" t="str">
        <f t="shared" si="42"/>
        <v/>
      </c>
      <c r="U317" s="5" t="str">
        <f t="shared" si="43"/>
        <v xml:space="preserve"> </v>
      </c>
    </row>
    <row r="318" spans="2:22" x14ac:dyDescent="0.2">
      <c r="B318" s="180"/>
      <c r="C318" s="181"/>
      <c r="D318" s="182"/>
      <c r="E318" s="182"/>
      <c r="F318" s="182"/>
      <c r="G318" s="182"/>
      <c r="H318" s="182"/>
      <c r="I318" s="182"/>
      <c r="J318" s="182"/>
      <c r="K318" s="182"/>
      <c r="L318" s="182"/>
      <c r="M318" s="182"/>
      <c r="N318" s="182"/>
      <c r="O318" s="182"/>
      <c r="P318" s="183"/>
      <c r="Q318" s="11"/>
      <c r="R318" s="11"/>
      <c r="S318" s="11"/>
      <c r="T318" s="181"/>
      <c r="U318" s="184"/>
      <c r="V318" s="185"/>
    </row>
    <row r="319" spans="2:22" x14ac:dyDescent="0.2">
      <c r="B319" s="32"/>
      <c r="C319" s="62"/>
      <c r="D319" s="186"/>
      <c r="E319" s="186"/>
      <c r="F319" s="186"/>
      <c r="G319" s="186"/>
      <c r="H319" s="186"/>
      <c r="I319" s="186"/>
      <c r="J319" s="186"/>
      <c r="K319" s="186"/>
      <c r="L319" s="186"/>
      <c r="M319" s="186"/>
      <c r="N319" s="186"/>
      <c r="O319" s="186"/>
      <c r="P319" s="67"/>
      <c r="Q319" s="11"/>
      <c r="R319" s="11"/>
      <c r="S319" s="11"/>
      <c r="T319" s="62"/>
      <c r="U319" s="187"/>
      <c r="V319" s="185"/>
    </row>
    <row r="320" spans="2:22" x14ac:dyDescent="0.2">
      <c r="B320" s="32"/>
      <c r="C320" s="62"/>
      <c r="D320" s="186"/>
      <c r="E320" s="186"/>
      <c r="F320" s="186"/>
      <c r="G320" s="186"/>
      <c r="H320" s="186"/>
      <c r="I320" s="186"/>
      <c r="J320" s="186"/>
      <c r="K320" s="186"/>
      <c r="L320" s="186"/>
      <c r="M320" s="186"/>
      <c r="N320" s="186"/>
      <c r="O320" s="186"/>
      <c r="P320" s="67"/>
      <c r="Q320" s="11"/>
      <c r="R320" s="11"/>
      <c r="S320" s="11"/>
      <c r="T320" s="62"/>
      <c r="U320" s="187"/>
      <c r="V320" s="185"/>
    </row>
    <row r="321" spans="2:22" x14ac:dyDescent="0.2">
      <c r="B321" s="32"/>
      <c r="C321" s="62"/>
      <c r="D321" s="186"/>
      <c r="E321" s="186"/>
      <c r="F321" s="186"/>
      <c r="G321" s="186"/>
      <c r="H321" s="186"/>
      <c r="I321" s="186"/>
      <c r="J321" s="186"/>
      <c r="K321" s="186"/>
      <c r="L321" s="186"/>
      <c r="M321" s="186"/>
      <c r="N321" s="186"/>
      <c r="O321" s="186"/>
      <c r="P321" s="67"/>
      <c r="Q321" s="11"/>
      <c r="R321" s="11"/>
      <c r="S321" s="11"/>
      <c r="T321" s="62"/>
      <c r="U321" s="187"/>
      <c r="V321" s="185"/>
    </row>
    <row r="322" spans="2:22" x14ac:dyDescent="0.2">
      <c r="B322" s="32"/>
      <c r="C322" s="62"/>
      <c r="D322" s="186"/>
      <c r="E322" s="186"/>
      <c r="F322" s="186"/>
      <c r="G322" s="186"/>
      <c r="H322" s="186"/>
      <c r="I322" s="186"/>
      <c r="J322" s="186"/>
      <c r="K322" s="186"/>
      <c r="L322" s="186"/>
      <c r="M322" s="186"/>
      <c r="N322" s="186"/>
      <c r="O322" s="186"/>
      <c r="P322" s="67"/>
      <c r="Q322" s="11"/>
      <c r="R322" s="11"/>
      <c r="S322" s="11"/>
      <c r="T322" s="62"/>
      <c r="U322" s="187"/>
      <c r="V322" s="185"/>
    </row>
    <row r="323" spans="2:22" x14ac:dyDescent="0.2">
      <c r="B323" s="32"/>
      <c r="C323" s="62"/>
      <c r="D323" s="186"/>
      <c r="E323" s="186"/>
      <c r="F323" s="186"/>
      <c r="G323" s="186"/>
      <c r="H323" s="186"/>
      <c r="I323" s="186"/>
      <c r="J323" s="186"/>
      <c r="K323" s="186"/>
      <c r="L323" s="186"/>
      <c r="M323" s="186"/>
      <c r="N323" s="186"/>
      <c r="O323" s="186"/>
      <c r="P323" s="67"/>
      <c r="Q323" s="11"/>
      <c r="R323" s="11"/>
      <c r="S323" s="11"/>
      <c r="T323" s="62"/>
      <c r="U323" s="187"/>
      <c r="V323" s="185"/>
    </row>
    <row r="324" spans="2:22" x14ac:dyDescent="0.2">
      <c r="B324" s="32"/>
      <c r="C324" s="62"/>
      <c r="D324" s="186"/>
      <c r="E324" s="186"/>
      <c r="F324" s="186"/>
      <c r="G324" s="186"/>
      <c r="H324" s="186"/>
      <c r="I324" s="186"/>
      <c r="J324" s="186"/>
      <c r="K324" s="186"/>
      <c r="L324" s="186"/>
      <c r="M324" s="186"/>
      <c r="N324" s="186"/>
      <c r="O324" s="186"/>
      <c r="P324" s="67"/>
      <c r="Q324" s="11"/>
      <c r="R324" s="11"/>
      <c r="S324" s="11"/>
      <c r="T324" s="62"/>
      <c r="U324" s="187"/>
      <c r="V324" s="185"/>
    </row>
    <row r="325" spans="2:22" x14ac:dyDescent="0.2">
      <c r="B325" s="32"/>
      <c r="C325" s="62"/>
      <c r="D325" s="186"/>
      <c r="E325" s="186"/>
      <c r="F325" s="186"/>
      <c r="G325" s="186"/>
      <c r="H325" s="186"/>
      <c r="I325" s="186"/>
      <c r="J325" s="186"/>
      <c r="K325" s="186"/>
      <c r="L325" s="186"/>
      <c r="M325" s="186"/>
      <c r="N325" s="186"/>
      <c r="O325" s="186"/>
      <c r="P325" s="67"/>
      <c r="Q325" s="11"/>
      <c r="R325" s="11"/>
      <c r="S325" s="11"/>
      <c r="T325" s="62"/>
      <c r="U325" s="187"/>
      <c r="V325" s="185"/>
    </row>
    <row r="326" spans="2:22" x14ac:dyDescent="0.2">
      <c r="B326" s="32"/>
      <c r="C326" s="62"/>
      <c r="D326" s="186"/>
      <c r="E326" s="186"/>
      <c r="F326" s="186"/>
      <c r="G326" s="186"/>
      <c r="H326" s="186"/>
      <c r="I326" s="186"/>
      <c r="J326" s="186"/>
      <c r="K326" s="186"/>
      <c r="L326" s="186"/>
      <c r="M326" s="186"/>
      <c r="N326" s="186"/>
      <c r="O326" s="186"/>
      <c r="P326" s="67"/>
      <c r="Q326" s="11"/>
      <c r="R326" s="11"/>
      <c r="S326" s="11"/>
      <c r="T326" s="62"/>
      <c r="U326" s="187"/>
      <c r="V326" s="185"/>
    </row>
    <row r="327" spans="2:22" x14ac:dyDescent="0.2">
      <c r="B327" s="32"/>
      <c r="C327" s="62"/>
      <c r="D327" s="186"/>
      <c r="E327" s="186"/>
      <c r="F327" s="186"/>
      <c r="G327" s="186"/>
      <c r="H327" s="186"/>
      <c r="I327" s="186"/>
      <c r="J327" s="186"/>
      <c r="K327" s="186"/>
      <c r="L327" s="186"/>
      <c r="M327" s="186"/>
      <c r="N327" s="186"/>
      <c r="O327" s="186"/>
      <c r="P327" s="67"/>
      <c r="Q327" s="11"/>
      <c r="R327" s="11"/>
      <c r="S327" s="11"/>
      <c r="T327" s="62"/>
      <c r="U327" s="187"/>
      <c r="V327" s="185"/>
    </row>
    <row r="328" spans="2:22" x14ac:dyDescent="0.2">
      <c r="B328" s="32"/>
      <c r="C328" s="62"/>
      <c r="D328" s="186"/>
      <c r="E328" s="186"/>
      <c r="F328" s="186"/>
      <c r="G328" s="186"/>
      <c r="H328" s="186"/>
      <c r="I328" s="186"/>
      <c r="J328" s="186"/>
      <c r="K328" s="186"/>
      <c r="L328" s="186"/>
      <c r="M328" s="186"/>
      <c r="N328" s="186"/>
      <c r="O328" s="186"/>
      <c r="P328" s="67"/>
      <c r="Q328" s="11"/>
      <c r="R328" s="11"/>
      <c r="S328" s="11"/>
      <c r="T328" s="62"/>
      <c r="U328" s="187"/>
      <c r="V328" s="185"/>
    </row>
    <row r="329" spans="2:22" x14ac:dyDescent="0.2">
      <c r="B329" s="32"/>
      <c r="C329" s="62"/>
      <c r="D329" s="186"/>
      <c r="E329" s="186"/>
      <c r="F329" s="186"/>
      <c r="G329" s="186"/>
      <c r="H329" s="186"/>
      <c r="I329" s="186"/>
      <c r="J329" s="186"/>
      <c r="K329" s="186"/>
      <c r="L329" s="186"/>
      <c r="M329" s="186"/>
      <c r="N329" s="186"/>
      <c r="O329" s="186"/>
      <c r="P329" s="67"/>
      <c r="Q329" s="11"/>
      <c r="R329" s="11"/>
      <c r="S329" s="11"/>
      <c r="T329" s="62"/>
      <c r="U329" s="187"/>
      <c r="V329" s="185"/>
    </row>
    <row r="330" spans="2:22" x14ac:dyDescent="0.2">
      <c r="B330" s="32"/>
      <c r="C330" s="62"/>
      <c r="D330" s="186"/>
      <c r="E330" s="186"/>
      <c r="F330" s="186"/>
      <c r="G330" s="186"/>
      <c r="H330" s="186"/>
      <c r="I330" s="186"/>
      <c r="J330" s="186"/>
      <c r="K330" s="186"/>
      <c r="L330" s="186"/>
      <c r="M330" s="186"/>
      <c r="N330" s="186"/>
      <c r="O330" s="186"/>
      <c r="P330" s="67"/>
      <c r="Q330" s="11"/>
      <c r="R330" s="11"/>
      <c r="S330" s="11"/>
      <c r="T330" s="62"/>
      <c r="U330" s="187"/>
      <c r="V330" s="185"/>
    </row>
    <row r="331" spans="2:22" x14ac:dyDescent="0.2">
      <c r="B331" s="32"/>
      <c r="C331" s="62"/>
      <c r="D331" s="186"/>
      <c r="E331" s="186"/>
      <c r="F331" s="186"/>
      <c r="G331" s="186"/>
      <c r="H331" s="186"/>
      <c r="I331" s="186"/>
      <c r="J331" s="186"/>
      <c r="K331" s="186"/>
      <c r="L331" s="186"/>
      <c r="M331" s="186"/>
      <c r="N331" s="186"/>
      <c r="O331" s="186"/>
      <c r="P331" s="67"/>
      <c r="Q331" s="11"/>
      <c r="R331" s="11"/>
      <c r="S331" s="11"/>
      <c r="T331" s="62"/>
      <c r="U331" s="187"/>
      <c r="V331" s="185"/>
    </row>
    <row r="332" spans="2:22" x14ac:dyDescent="0.2">
      <c r="B332" s="32"/>
      <c r="C332" s="62"/>
      <c r="D332" s="186"/>
      <c r="E332" s="186"/>
      <c r="F332" s="186"/>
      <c r="G332" s="186"/>
      <c r="H332" s="186"/>
      <c r="I332" s="186"/>
      <c r="J332" s="186"/>
      <c r="K332" s="186"/>
      <c r="L332" s="186"/>
      <c r="M332" s="186"/>
      <c r="N332" s="186"/>
      <c r="O332" s="186"/>
      <c r="P332" s="67"/>
      <c r="Q332" s="11"/>
      <c r="R332" s="11"/>
      <c r="S332" s="11"/>
      <c r="T332" s="62"/>
      <c r="U332" s="187"/>
      <c r="V332" s="185"/>
    </row>
    <row r="333" spans="2:22" x14ac:dyDescent="0.2">
      <c r="B333" s="32"/>
      <c r="C333" s="62"/>
      <c r="D333" s="186"/>
      <c r="E333" s="186"/>
      <c r="F333" s="186"/>
      <c r="G333" s="186"/>
      <c r="H333" s="186"/>
      <c r="I333" s="186"/>
      <c r="J333" s="186"/>
      <c r="K333" s="186"/>
      <c r="L333" s="186"/>
      <c r="M333" s="186"/>
      <c r="N333" s="186"/>
      <c r="O333" s="186"/>
      <c r="P333" s="67"/>
      <c r="Q333" s="11"/>
      <c r="R333" s="11"/>
      <c r="S333" s="11"/>
      <c r="T333" s="62"/>
      <c r="U333" s="187"/>
      <c r="V333" s="185"/>
    </row>
    <row r="334" spans="2:22" x14ac:dyDescent="0.2">
      <c r="B334" s="32"/>
      <c r="C334" s="62"/>
      <c r="D334" s="186"/>
      <c r="E334" s="186"/>
      <c r="F334" s="186"/>
      <c r="G334" s="186"/>
      <c r="H334" s="186"/>
      <c r="I334" s="186"/>
      <c r="J334" s="186"/>
      <c r="K334" s="186"/>
      <c r="L334" s="186"/>
      <c r="M334" s="186"/>
      <c r="N334" s="186"/>
      <c r="O334" s="186"/>
      <c r="P334" s="67"/>
      <c r="Q334" s="11"/>
      <c r="R334" s="11"/>
      <c r="S334" s="11"/>
      <c r="T334" s="62"/>
      <c r="U334" s="187"/>
      <c r="V334" s="185"/>
    </row>
    <row r="335" spans="2:22" x14ac:dyDescent="0.2">
      <c r="B335" s="32"/>
      <c r="C335" s="62"/>
      <c r="D335" s="186"/>
      <c r="E335" s="186"/>
      <c r="F335" s="186"/>
      <c r="G335" s="186"/>
      <c r="H335" s="186"/>
      <c r="I335" s="186"/>
      <c r="J335" s="186"/>
      <c r="K335" s="186"/>
      <c r="L335" s="186"/>
      <c r="M335" s="186"/>
      <c r="N335" s="186"/>
      <c r="O335" s="186"/>
      <c r="P335" s="67"/>
      <c r="Q335" s="11"/>
      <c r="R335" s="11"/>
      <c r="S335" s="11"/>
      <c r="T335" s="62"/>
      <c r="U335" s="187"/>
      <c r="V335" s="185"/>
    </row>
    <row r="336" spans="2:22" x14ac:dyDescent="0.2">
      <c r="B336" s="32"/>
      <c r="C336" s="62"/>
      <c r="D336" s="186"/>
      <c r="E336" s="186"/>
      <c r="F336" s="186"/>
      <c r="G336" s="186"/>
      <c r="H336" s="186"/>
      <c r="I336" s="186"/>
      <c r="J336" s="186"/>
      <c r="K336" s="186"/>
      <c r="L336" s="186"/>
      <c r="M336" s="186"/>
      <c r="N336" s="186"/>
      <c r="O336" s="186"/>
      <c r="P336" s="67"/>
      <c r="Q336" s="11"/>
      <c r="R336" s="11"/>
      <c r="S336" s="11"/>
      <c r="T336" s="62"/>
      <c r="U336" s="187"/>
      <c r="V336" s="185"/>
    </row>
    <row r="337" spans="2:22" x14ac:dyDescent="0.2">
      <c r="B337" s="32"/>
      <c r="C337" s="62"/>
      <c r="D337" s="186"/>
      <c r="E337" s="186"/>
      <c r="F337" s="186"/>
      <c r="G337" s="186"/>
      <c r="H337" s="186"/>
      <c r="I337" s="186"/>
      <c r="J337" s="186"/>
      <c r="K337" s="186"/>
      <c r="L337" s="186"/>
      <c r="M337" s="186"/>
      <c r="N337" s="186"/>
      <c r="O337" s="186"/>
      <c r="P337" s="67"/>
      <c r="Q337" s="11"/>
      <c r="R337" s="11"/>
      <c r="S337" s="11"/>
      <c r="T337" s="62"/>
      <c r="U337" s="187"/>
      <c r="V337" s="185"/>
    </row>
    <row r="338" spans="2:22" x14ac:dyDescent="0.2">
      <c r="B338" s="32"/>
      <c r="C338" s="62"/>
      <c r="D338" s="186"/>
      <c r="E338" s="186"/>
      <c r="F338" s="186"/>
      <c r="G338" s="186"/>
      <c r="H338" s="186"/>
      <c r="I338" s="186"/>
      <c r="J338" s="186"/>
      <c r="K338" s="186"/>
      <c r="L338" s="186"/>
      <c r="M338" s="186"/>
      <c r="N338" s="186"/>
      <c r="O338" s="186"/>
      <c r="P338" s="67"/>
      <c r="Q338" s="11"/>
      <c r="R338" s="11"/>
      <c r="S338" s="11"/>
      <c r="T338" s="62"/>
      <c r="U338" s="187"/>
      <c r="V338" s="185"/>
    </row>
    <row r="339" spans="2:22" x14ac:dyDescent="0.2">
      <c r="B339" s="32"/>
      <c r="C339" s="62"/>
      <c r="D339" s="186"/>
      <c r="E339" s="186"/>
      <c r="F339" s="186"/>
      <c r="G339" s="186"/>
      <c r="H339" s="186"/>
      <c r="I339" s="186"/>
      <c r="J339" s="186"/>
      <c r="K339" s="186"/>
      <c r="L339" s="186"/>
      <c r="M339" s="186"/>
      <c r="N339" s="186"/>
      <c r="O339" s="186"/>
      <c r="P339" s="67"/>
      <c r="Q339" s="11"/>
      <c r="R339" s="11"/>
      <c r="S339" s="11"/>
      <c r="T339" s="62"/>
      <c r="U339" s="187"/>
      <c r="V339" s="185"/>
    </row>
    <row r="340" spans="2:22" x14ac:dyDescent="0.2">
      <c r="B340" s="32"/>
      <c r="C340" s="62"/>
      <c r="D340" s="186"/>
      <c r="E340" s="186"/>
      <c r="F340" s="186"/>
      <c r="G340" s="186"/>
      <c r="H340" s="186"/>
      <c r="I340" s="186"/>
      <c r="J340" s="186"/>
      <c r="K340" s="186"/>
      <c r="L340" s="186"/>
      <c r="M340" s="186"/>
      <c r="N340" s="186"/>
      <c r="O340" s="186"/>
      <c r="P340" s="67"/>
      <c r="Q340" s="11"/>
      <c r="R340" s="11"/>
      <c r="S340" s="11"/>
      <c r="T340" s="62"/>
      <c r="U340" s="187"/>
      <c r="V340" s="185"/>
    </row>
    <row r="341" spans="2:22" x14ac:dyDescent="0.2">
      <c r="B341" s="32"/>
      <c r="C341" s="62"/>
      <c r="D341" s="186"/>
      <c r="E341" s="186"/>
      <c r="F341" s="186"/>
      <c r="G341" s="186"/>
      <c r="H341" s="186"/>
      <c r="I341" s="186"/>
      <c r="J341" s="186"/>
      <c r="K341" s="186"/>
      <c r="L341" s="186"/>
      <c r="M341" s="186"/>
      <c r="N341" s="186"/>
      <c r="O341" s="186"/>
      <c r="P341" s="67"/>
      <c r="Q341" s="11"/>
      <c r="R341" s="11"/>
      <c r="S341" s="11"/>
      <c r="T341" s="62"/>
      <c r="U341" s="187"/>
      <c r="V341" s="185"/>
    </row>
    <row r="342" spans="2:22" x14ac:dyDescent="0.2">
      <c r="B342" s="32"/>
      <c r="C342" s="62"/>
      <c r="D342" s="186"/>
      <c r="E342" s="186"/>
      <c r="F342" s="186"/>
      <c r="G342" s="186"/>
      <c r="H342" s="186"/>
      <c r="I342" s="186"/>
      <c r="J342" s="186"/>
      <c r="K342" s="186"/>
      <c r="L342" s="186"/>
      <c r="M342" s="186"/>
      <c r="N342" s="186"/>
      <c r="O342" s="186"/>
      <c r="P342" s="67"/>
      <c r="Q342" s="11"/>
      <c r="R342" s="11"/>
      <c r="S342" s="11"/>
      <c r="T342" s="62"/>
      <c r="U342" s="187"/>
      <c r="V342" s="185"/>
    </row>
    <row r="343" spans="2:22" x14ac:dyDescent="0.2">
      <c r="B343" s="32"/>
      <c r="C343" s="62"/>
      <c r="D343" s="186"/>
      <c r="E343" s="186"/>
      <c r="F343" s="186"/>
      <c r="G343" s="186"/>
      <c r="H343" s="186"/>
      <c r="I343" s="186"/>
      <c r="J343" s="186"/>
      <c r="K343" s="186"/>
      <c r="L343" s="186"/>
      <c r="M343" s="186"/>
      <c r="N343" s="186"/>
      <c r="O343" s="186"/>
      <c r="P343" s="67"/>
      <c r="Q343" s="11"/>
      <c r="R343" s="11"/>
      <c r="S343" s="11"/>
      <c r="T343" s="62"/>
      <c r="U343" s="187"/>
      <c r="V343" s="185"/>
    </row>
    <row r="344" spans="2:22" x14ac:dyDescent="0.2">
      <c r="B344" s="32"/>
      <c r="C344" s="62"/>
      <c r="D344" s="186"/>
      <c r="E344" s="186"/>
      <c r="F344" s="186"/>
      <c r="G344" s="186"/>
      <c r="H344" s="186"/>
      <c r="I344" s="186"/>
      <c r="J344" s="186"/>
      <c r="K344" s="186"/>
      <c r="L344" s="186"/>
      <c r="M344" s="186"/>
      <c r="N344" s="186"/>
      <c r="O344" s="186"/>
      <c r="P344" s="67"/>
      <c r="Q344" s="11"/>
      <c r="R344" s="11"/>
      <c r="S344" s="11"/>
      <c r="T344" s="62"/>
      <c r="U344" s="187"/>
      <c r="V344" s="185"/>
    </row>
    <row r="345" spans="2:22" x14ac:dyDescent="0.2">
      <c r="B345" s="32"/>
      <c r="C345" s="62"/>
      <c r="D345" s="186"/>
      <c r="E345" s="186"/>
      <c r="F345" s="186"/>
      <c r="G345" s="186"/>
      <c r="H345" s="186"/>
      <c r="I345" s="186"/>
      <c r="J345" s="186"/>
      <c r="K345" s="186"/>
      <c r="L345" s="186"/>
      <c r="M345" s="186"/>
      <c r="N345" s="186"/>
      <c r="O345" s="186"/>
      <c r="P345" s="67"/>
      <c r="Q345" s="11"/>
      <c r="R345" s="11"/>
      <c r="S345" s="11"/>
      <c r="T345" s="62"/>
      <c r="U345" s="187"/>
      <c r="V345" s="185"/>
    </row>
    <row r="346" spans="2:22" x14ac:dyDescent="0.2">
      <c r="B346" s="32"/>
      <c r="C346" s="62"/>
      <c r="D346" s="186"/>
      <c r="E346" s="186"/>
      <c r="F346" s="186"/>
      <c r="G346" s="186"/>
      <c r="H346" s="186"/>
      <c r="I346" s="186"/>
      <c r="J346" s="186"/>
      <c r="K346" s="186"/>
      <c r="L346" s="186"/>
      <c r="M346" s="186"/>
      <c r="N346" s="186"/>
      <c r="O346" s="186"/>
      <c r="P346" s="67"/>
      <c r="Q346" s="11"/>
      <c r="R346" s="11"/>
      <c r="S346" s="11"/>
      <c r="T346" s="62"/>
      <c r="U346" s="187"/>
      <c r="V346" s="185"/>
    </row>
    <row r="347" spans="2:22" x14ac:dyDescent="0.2">
      <c r="B347" s="32"/>
      <c r="C347" s="62"/>
      <c r="D347" s="186"/>
      <c r="E347" s="186"/>
      <c r="F347" s="186"/>
      <c r="G347" s="186"/>
      <c r="H347" s="186"/>
      <c r="I347" s="186"/>
      <c r="J347" s="186"/>
      <c r="K347" s="186"/>
      <c r="L347" s="186"/>
      <c r="M347" s="186"/>
      <c r="N347" s="186"/>
      <c r="O347" s="186"/>
      <c r="P347" s="67"/>
      <c r="Q347" s="11"/>
      <c r="R347" s="11"/>
      <c r="S347" s="11"/>
      <c r="T347" s="62"/>
      <c r="U347" s="187"/>
      <c r="V347" s="185"/>
    </row>
    <row r="348" spans="2:22" x14ac:dyDescent="0.2">
      <c r="B348" s="32"/>
      <c r="C348" s="62"/>
      <c r="D348" s="186"/>
      <c r="E348" s="186"/>
      <c r="F348" s="186"/>
      <c r="G348" s="186"/>
      <c r="H348" s="186"/>
      <c r="I348" s="186"/>
      <c r="J348" s="186"/>
      <c r="K348" s="186"/>
      <c r="L348" s="186"/>
      <c r="M348" s="186"/>
      <c r="N348" s="186"/>
      <c r="O348" s="186"/>
      <c r="P348" s="67"/>
      <c r="Q348" s="11"/>
      <c r="R348" s="11"/>
      <c r="S348" s="11"/>
      <c r="T348" s="62"/>
      <c r="U348" s="187"/>
      <c r="V348" s="185"/>
    </row>
    <row r="349" spans="2:22" x14ac:dyDescent="0.2">
      <c r="B349" s="32"/>
      <c r="C349" s="62"/>
      <c r="D349" s="186"/>
      <c r="E349" s="186"/>
      <c r="F349" s="186"/>
      <c r="G349" s="186"/>
      <c r="H349" s="186"/>
      <c r="I349" s="186"/>
      <c r="J349" s="186"/>
      <c r="K349" s="186"/>
      <c r="L349" s="186"/>
      <c r="M349" s="186"/>
      <c r="N349" s="186"/>
      <c r="O349" s="186"/>
      <c r="P349" s="67"/>
      <c r="Q349" s="11"/>
      <c r="R349" s="11"/>
      <c r="S349" s="11"/>
      <c r="T349" s="62"/>
      <c r="U349" s="187"/>
      <c r="V349" s="185"/>
    </row>
    <row r="350" spans="2:22" x14ac:dyDescent="0.2">
      <c r="B350" s="32"/>
      <c r="C350" s="62"/>
      <c r="D350" s="186"/>
      <c r="E350" s="186"/>
      <c r="F350" s="186"/>
      <c r="G350" s="186"/>
      <c r="H350" s="186"/>
      <c r="I350" s="186"/>
      <c r="J350" s="186"/>
      <c r="K350" s="186"/>
      <c r="L350" s="186"/>
      <c r="M350" s="186"/>
      <c r="N350" s="186"/>
      <c r="O350" s="186"/>
      <c r="P350" s="67"/>
      <c r="Q350" s="11"/>
      <c r="R350" s="11"/>
      <c r="S350" s="11"/>
      <c r="T350" s="62"/>
      <c r="U350" s="187"/>
      <c r="V350" s="185"/>
    </row>
    <row r="351" spans="2:22" x14ac:dyDescent="0.2">
      <c r="B351" s="32"/>
      <c r="C351" s="62"/>
      <c r="D351" s="186"/>
      <c r="E351" s="186"/>
      <c r="F351" s="186"/>
      <c r="G351" s="186"/>
      <c r="H351" s="186"/>
      <c r="I351" s="186"/>
      <c r="J351" s="186"/>
      <c r="K351" s="186"/>
      <c r="L351" s="186"/>
      <c r="M351" s="186"/>
      <c r="N351" s="186"/>
      <c r="O351" s="186"/>
      <c r="P351" s="67"/>
      <c r="Q351" s="11"/>
      <c r="R351" s="11"/>
      <c r="S351" s="11"/>
      <c r="T351" s="62"/>
      <c r="U351" s="187"/>
      <c r="V351" s="185"/>
    </row>
    <row r="352" spans="2:22" x14ac:dyDescent="0.2">
      <c r="B352" s="32"/>
      <c r="C352" s="62"/>
      <c r="D352" s="186"/>
      <c r="E352" s="186"/>
      <c r="F352" s="186"/>
      <c r="G352" s="186"/>
      <c r="H352" s="186"/>
      <c r="I352" s="186"/>
      <c r="J352" s="186"/>
      <c r="K352" s="186"/>
      <c r="L352" s="186"/>
      <c r="M352" s="186"/>
      <c r="N352" s="186"/>
      <c r="O352" s="186"/>
      <c r="P352" s="67"/>
      <c r="Q352" s="11"/>
      <c r="R352" s="11"/>
      <c r="S352" s="11"/>
      <c r="T352" s="62"/>
      <c r="U352" s="187"/>
      <c r="V352" s="185"/>
    </row>
    <row r="353" spans="2:22" x14ac:dyDescent="0.2">
      <c r="B353" s="32"/>
      <c r="C353" s="62"/>
      <c r="D353" s="186"/>
      <c r="E353" s="186"/>
      <c r="F353" s="186"/>
      <c r="G353" s="186"/>
      <c r="H353" s="186"/>
      <c r="I353" s="186"/>
      <c r="J353" s="186"/>
      <c r="K353" s="186"/>
      <c r="L353" s="186"/>
      <c r="M353" s="186"/>
      <c r="N353" s="186"/>
      <c r="O353" s="186"/>
      <c r="P353" s="67"/>
      <c r="Q353" s="11"/>
      <c r="R353" s="11"/>
      <c r="S353" s="11"/>
      <c r="T353" s="62"/>
      <c r="U353" s="187"/>
      <c r="V353" s="185"/>
    </row>
    <row r="354" spans="2:22" x14ac:dyDescent="0.2">
      <c r="B354" s="32"/>
      <c r="C354" s="62"/>
      <c r="D354" s="186"/>
      <c r="E354" s="186"/>
      <c r="F354" s="186"/>
      <c r="G354" s="186"/>
      <c r="H354" s="186"/>
      <c r="I354" s="186"/>
      <c r="J354" s="186"/>
      <c r="K354" s="186"/>
      <c r="L354" s="186"/>
      <c r="M354" s="186"/>
      <c r="N354" s="186"/>
      <c r="O354" s="186"/>
      <c r="P354" s="67"/>
      <c r="Q354" s="11"/>
      <c r="R354" s="11"/>
      <c r="S354" s="11"/>
      <c r="T354" s="62"/>
      <c r="U354" s="187"/>
      <c r="V354" s="185"/>
    </row>
    <row r="355" spans="2:22" x14ac:dyDescent="0.2">
      <c r="B355" s="32"/>
      <c r="C355" s="62"/>
      <c r="D355" s="186"/>
      <c r="E355" s="186"/>
      <c r="F355" s="186"/>
      <c r="G355" s="186"/>
      <c r="H355" s="186"/>
      <c r="I355" s="186"/>
      <c r="J355" s="186"/>
      <c r="K355" s="186"/>
      <c r="L355" s="186"/>
      <c r="M355" s="186"/>
      <c r="N355" s="186"/>
      <c r="O355" s="186"/>
      <c r="P355" s="67"/>
      <c r="Q355" s="11"/>
      <c r="R355" s="11"/>
      <c r="S355" s="11"/>
      <c r="T355" s="62"/>
      <c r="U355" s="187"/>
      <c r="V355" s="185"/>
    </row>
    <row r="356" spans="2:22" x14ac:dyDescent="0.2">
      <c r="B356" s="32"/>
      <c r="C356" s="62"/>
      <c r="D356" s="186"/>
      <c r="E356" s="186"/>
      <c r="F356" s="186"/>
      <c r="G356" s="186"/>
      <c r="H356" s="186"/>
      <c r="I356" s="186"/>
      <c r="J356" s="186"/>
      <c r="K356" s="186"/>
      <c r="L356" s="186"/>
      <c r="M356" s="186"/>
      <c r="N356" s="186"/>
      <c r="O356" s="186"/>
      <c r="P356" s="67"/>
      <c r="Q356" s="11"/>
      <c r="R356" s="11"/>
      <c r="S356" s="11"/>
      <c r="T356" s="62"/>
      <c r="U356" s="187"/>
      <c r="V356" s="185"/>
    </row>
    <row r="357" spans="2:22" x14ac:dyDescent="0.2">
      <c r="B357" s="32"/>
      <c r="C357" s="62"/>
      <c r="D357" s="186"/>
      <c r="E357" s="186"/>
      <c r="F357" s="186"/>
      <c r="G357" s="186"/>
      <c r="H357" s="186"/>
      <c r="I357" s="186"/>
      <c r="J357" s="186"/>
      <c r="K357" s="186"/>
      <c r="L357" s="186"/>
      <c r="M357" s="186"/>
      <c r="N357" s="186"/>
      <c r="O357" s="186"/>
      <c r="P357" s="67"/>
      <c r="Q357" s="11"/>
      <c r="R357" s="11"/>
      <c r="S357" s="11"/>
      <c r="T357" s="62"/>
      <c r="U357" s="187"/>
      <c r="V357" s="185"/>
    </row>
    <row r="358" spans="2:22" x14ac:dyDescent="0.2">
      <c r="B358" s="32"/>
      <c r="C358" s="62"/>
      <c r="D358" s="186"/>
      <c r="E358" s="186"/>
      <c r="F358" s="186"/>
      <c r="G358" s="186"/>
      <c r="H358" s="186"/>
      <c r="I358" s="186"/>
      <c r="J358" s="186"/>
      <c r="K358" s="186"/>
      <c r="L358" s="186"/>
      <c r="M358" s="186"/>
      <c r="N358" s="186"/>
      <c r="O358" s="186"/>
      <c r="P358" s="67"/>
      <c r="Q358" s="11"/>
      <c r="R358" s="11"/>
      <c r="S358" s="11"/>
      <c r="T358" s="62"/>
      <c r="U358" s="187"/>
      <c r="V358" s="185"/>
    </row>
    <row r="359" spans="2:22" x14ac:dyDescent="0.2">
      <c r="B359" s="32"/>
      <c r="C359" s="62"/>
      <c r="D359" s="186"/>
      <c r="E359" s="186"/>
      <c r="F359" s="186"/>
      <c r="G359" s="186"/>
      <c r="H359" s="186"/>
      <c r="I359" s="186"/>
      <c r="J359" s="186"/>
      <c r="K359" s="186"/>
      <c r="L359" s="186"/>
      <c r="M359" s="186"/>
      <c r="N359" s="186"/>
      <c r="O359" s="186"/>
      <c r="P359" s="67"/>
      <c r="Q359" s="11"/>
      <c r="R359" s="11"/>
      <c r="S359" s="11"/>
      <c r="T359" s="62"/>
      <c r="U359" s="187"/>
      <c r="V359" s="185"/>
    </row>
    <row r="360" spans="2:22" x14ac:dyDescent="0.2">
      <c r="B360" s="32"/>
      <c r="C360" s="62"/>
      <c r="D360" s="186"/>
      <c r="E360" s="186"/>
      <c r="F360" s="186"/>
      <c r="G360" s="186"/>
      <c r="H360" s="186"/>
      <c r="I360" s="186"/>
      <c r="J360" s="186"/>
      <c r="K360" s="186"/>
      <c r="L360" s="186"/>
      <c r="M360" s="186"/>
      <c r="N360" s="186"/>
      <c r="O360" s="186"/>
      <c r="P360" s="67"/>
      <c r="Q360" s="11"/>
      <c r="R360" s="11"/>
      <c r="S360" s="11"/>
      <c r="T360" s="62"/>
      <c r="U360" s="187"/>
      <c r="V360" s="185"/>
    </row>
    <row r="361" spans="2:22" x14ac:dyDescent="0.2">
      <c r="B361" s="32"/>
      <c r="C361" s="62"/>
      <c r="D361" s="186"/>
      <c r="E361" s="186"/>
      <c r="F361" s="186"/>
      <c r="G361" s="186"/>
      <c r="H361" s="186"/>
      <c r="I361" s="186"/>
      <c r="J361" s="186"/>
      <c r="K361" s="186"/>
      <c r="L361" s="186"/>
      <c r="M361" s="186"/>
      <c r="N361" s="186"/>
      <c r="O361" s="186"/>
      <c r="P361" s="67"/>
      <c r="Q361" s="11"/>
      <c r="R361" s="11"/>
      <c r="S361" s="11"/>
      <c r="T361" s="62"/>
      <c r="U361" s="187"/>
      <c r="V361" s="185"/>
    </row>
    <row r="362" spans="2:22" x14ac:dyDescent="0.2">
      <c r="B362" s="32"/>
      <c r="C362" s="62"/>
      <c r="D362" s="186"/>
      <c r="E362" s="186"/>
      <c r="F362" s="186"/>
      <c r="G362" s="186"/>
      <c r="H362" s="186"/>
      <c r="I362" s="186"/>
      <c r="J362" s="186"/>
      <c r="K362" s="186"/>
      <c r="L362" s="186"/>
      <c r="M362" s="186"/>
      <c r="N362" s="186"/>
      <c r="O362" s="186"/>
      <c r="P362" s="67"/>
      <c r="Q362" s="11"/>
      <c r="R362" s="11"/>
      <c r="S362" s="11"/>
      <c r="T362" s="62"/>
      <c r="U362" s="187"/>
      <c r="V362" s="185"/>
    </row>
    <row r="363" spans="2:22" x14ac:dyDescent="0.2">
      <c r="B363" s="32"/>
      <c r="C363" s="62"/>
      <c r="D363" s="186"/>
      <c r="E363" s="186"/>
      <c r="F363" s="186"/>
      <c r="G363" s="186"/>
      <c r="H363" s="186"/>
      <c r="I363" s="186"/>
      <c r="J363" s="186"/>
      <c r="K363" s="186"/>
      <c r="L363" s="186"/>
      <c r="M363" s="186"/>
      <c r="N363" s="186"/>
      <c r="O363" s="186"/>
      <c r="P363" s="67"/>
      <c r="Q363" s="11"/>
      <c r="R363" s="11"/>
      <c r="S363" s="11"/>
      <c r="T363" s="62"/>
      <c r="U363" s="187"/>
      <c r="V363" s="185"/>
    </row>
    <row r="364" spans="2:22" x14ac:dyDescent="0.2">
      <c r="B364" s="32"/>
      <c r="C364" s="62"/>
      <c r="D364" s="186"/>
      <c r="E364" s="186"/>
      <c r="F364" s="186"/>
      <c r="G364" s="186"/>
      <c r="H364" s="186"/>
      <c r="I364" s="186"/>
      <c r="J364" s="186"/>
      <c r="K364" s="186"/>
      <c r="L364" s="186"/>
      <c r="M364" s="186"/>
      <c r="N364" s="186"/>
      <c r="O364" s="186"/>
      <c r="P364" s="67"/>
      <c r="Q364" s="11"/>
      <c r="R364" s="11"/>
      <c r="S364" s="11"/>
      <c r="T364" s="62"/>
      <c r="U364" s="187"/>
      <c r="V364" s="185"/>
    </row>
    <row r="365" spans="2:22" x14ac:dyDescent="0.2">
      <c r="B365" s="32"/>
      <c r="C365" s="62"/>
      <c r="D365" s="186"/>
      <c r="E365" s="186"/>
      <c r="F365" s="186"/>
      <c r="G365" s="186"/>
      <c r="H365" s="186"/>
      <c r="I365" s="186"/>
      <c r="J365" s="186"/>
      <c r="K365" s="186"/>
      <c r="L365" s="186"/>
      <c r="M365" s="186"/>
      <c r="N365" s="186"/>
      <c r="O365" s="186"/>
      <c r="P365" s="67"/>
      <c r="Q365" s="11"/>
      <c r="R365" s="11"/>
      <c r="S365" s="11"/>
      <c r="T365" s="62"/>
      <c r="U365" s="187"/>
      <c r="V365" s="185"/>
    </row>
    <row r="366" spans="2:22" x14ac:dyDescent="0.2">
      <c r="B366" s="32"/>
      <c r="C366" s="62"/>
      <c r="D366" s="186"/>
      <c r="E366" s="186"/>
      <c r="F366" s="186"/>
      <c r="G366" s="186"/>
      <c r="H366" s="186"/>
      <c r="I366" s="186"/>
      <c r="J366" s="186"/>
      <c r="K366" s="186"/>
      <c r="L366" s="186"/>
      <c r="M366" s="186"/>
      <c r="N366" s="186"/>
      <c r="O366" s="186"/>
      <c r="P366" s="67"/>
      <c r="Q366" s="11"/>
      <c r="R366" s="11"/>
      <c r="S366" s="11"/>
      <c r="T366" s="62"/>
      <c r="U366" s="187"/>
      <c r="V366" s="185"/>
    </row>
    <row r="367" spans="2:22" x14ac:dyDescent="0.2">
      <c r="B367" s="32"/>
      <c r="C367" s="62"/>
      <c r="D367" s="186"/>
      <c r="E367" s="186"/>
      <c r="F367" s="186"/>
      <c r="G367" s="186"/>
      <c r="H367" s="186"/>
      <c r="I367" s="186"/>
      <c r="J367" s="186"/>
      <c r="K367" s="186"/>
      <c r="L367" s="186"/>
      <c r="M367" s="186"/>
      <c r="N367" s="186"/>
      <c r="O367" s="186"/>
      <c r="P367" s="67"/>
      <c r="Q367" s="11"/>
      <c r="R367" s="11"/>
      <c r="S367" s="11"/>
      <c r="T367" s="62"/>
      <c r="U367" s="187"/>
      <c r="V367" s="185"/>
    </row>
    <row r="368" spans="2:22" x14ac:dyDescent="0.2">
      <c r="B368" s="32"/>
      <c r="C368" s="62"/>
      <c r="D368" s="186"/>
      <c r="E368" s="186"/>
      <c r="F368" s="186"/>
      <c r="G368" s="186"/>
      <c r="H368" s="186"/>
      <c r="I368" s="186"/>
      <c r="J368" s="186"/>
      <c r="K368" s="186"/>
      <c r="L368" s="186"/>
      <c r="M368" s="186"/>
      <c r="N368" s="186"/>
      <c r="O368" s="186"/>
      <c r="P368" s="67"/>
      <c r="Q368" s="11"/>
      <c r="R368" s="11"/>
      <c r="S368" s="11"/>
      <c r="T368" s="62"/>
      <c r="U368" s="187"/>
      <c r="V368" s="185"/>
    </row>
    <row r="369" spans="2:22" x14ac:dyDescent="0.2">
      <c r="B369" s="32"/>
      <c r="C369" s="62"/>
      <c r="D369" s="186"/>
      <c r="E369" s="186"/>
      <c r="F369" s="186"/>
      <c r="G369" s="186"/>
      <c r="H369" s="186"/>
      <c r="I369" s="186"/>
      <c r="J369" s="186"/>
      <c r="K369" s="186"/>
      <c r="L369" s="186"/>
      <c r="M369" s="186"/>
      <c r="N369" s="186"/>
      <c r="O369" s="186"/>
      <c r="P369" s="67"/>
      <c r="Q369" s="11"/>
      <c r="R369" s="11"/>
      <c r="S369" s="11"/>
      <c r="T369" s="62"/>
      <c r="U369" s="187"/>
      <c r="V369" s="185"/>
    </row>
    <row r="370" spans="2:22" x14ac:dyDescent="0.2">
      <c r="B370" s="32"/>
      <c r="C370" s="62"/>
      <c r="D370" s="186"/>
      <c r="E370" s="186"/>
      <c r="F370" s="186"/>
      <c r="G370" s="186"/>
      <c r="H370" s="186"/>
      <c r="I370" s="186"/>
      <c r="J370" s="186"/>
      <c r="K370" s="186"/>
      <c r="L370" s="186"/>
      <c r="M370" s="186"/>
      <c r="N370" s="186"/>
      <c r="O370" s="186"/>
      <c r="P370" s="67"/>
      <c r="Q370" s="11"/>
      <c r="R370" s="11"/>
      <c r="S370" s="11"/>
      <c r="T370" s="62"/>
      <c r="U370" s="187"/>
      <c r="V370" s="185"/>
    </row>
    <row r="371" spans="2:22" x14ac:dyDescent="0.2">
      <c r="B371" s="32"/>
      <c r="C371" s="62"/>
      <c r="D371" s="186"/>
      <c r="E371" s="186"/>
      <c r="F371" s="186"/>
      <c r="G371" s="186"/>
      <c r="H371" s="186"/>
      <c r="I371" s="186"/>
      <c r="J371" s="186"/>
      <c r="K371" s="186"/>
      <c r="L371" s="186"/>
      <c r="M371" s="186"/>
      <c r="N371" s="186"/>
      <c r="O371" s="186"/>
      <c r="P371" s="67"/>
      <c r="Q371" s="11"/>
      <c r="R371" s="11"/>
      <c r="S371" s="11"/>
      <c r="T371" s="62"/>
      <c r="U371" s="187"/>
      <c r="V371" s="185"/>
    </row>
    <row r="372" spans="2:22" x14ac:dyDescent="0.2">
      <c r="B372" s="32"/>
      <c r="C372" s="62"/>
      <c r="D372" s="186"/>
      <c r="E372" s="186"/>
      <c r="F372" s="186"/>
      <c r="G372" s="186"/>
      <c r="H372" s="186"/>
      <c r="I372" s="186"/>
      <c r="J372" s="186"/>
      <c r="K372" s="186"/>
      <c r="L372" s="186"/>
      <c r="M372" s="186"/>
      <c r="N372" s="186"/>
      <c r="O372" s="186"/>
      <c r="P372" s="67"/>
      <c r="Q372" s="11"/>
      <c r="R372" s="11"/>
      <c r="S372" s="11"/>
      <c r="T372" s="62"/>
      <c r="U372" s="187"/>
      <c r="V372" s="185"/>
    </row>
    <row r="373" spans="2:22" x14ac:dyDescent="0.2">
      <c r="B373" s="32"/>
      <c r="C373" s="62"/>
      <c r="D373" s="186"/>
      <c r="E373" s="186"/>
      <c r="F373" s="186"/>
      <c r="G373" s="186"/>
      <c r="H373" s="186"/>
      <c r="I373" s="186"/>
      <c r="J373" s="186"/>
      <c r="K373" s="186"/>
      <c r="L373" s="186"/>
      <c r="M373" s="186"/>
      <c r="N373" s="186"/>
      <c r="O373" s="186"/>
      <c r="P373" s="67"/>
      <c r="Q373" s="11"/>
      <c r="R373" s="11"/>
      <c r="S373" s="11"/>
      <c r="T373" s="62"/>
      <c r="U373" s="187"/>
      <c r="V373" s="185"/>
    </row>
    <row r="374" spans="2:22" x14ac:dyDescent="0.2">
      <c r="B374" s="32"/>
      <c r="C374" s="62"/>
      <c r="D374" s="186"/>
      <c r="E374" s="186"/>
      <c r="F374" s="186"/>
      <c r="G374" s="186"/>
      <c r="H374" s="186"/>
      <c r="I374" s="186"/>
      <c r="J374" s="186"/>
      <c r="K374" s="186"/>
      <c r="L374" s="186"/>
      <c r="M374" s="186"/>
      <c r="N374" s="186"/>
      <c r="O374" s="186"/>
      <c r="P374" s="67"/>
      <c r="Q374" s="11"/>
      <c r="R374" s="11"/>
      <c r="S374" s="11"/>
      <c r="T374" s="62"/>
      <c r="U374" s="187"/>
      <c r="V374" s="185"/>
    </row>
    <row r="375" spans="2:22" x14ac:dyDescent="0.2">
      <c r="B375" s="32"/>
      <c r="C375" s="62"/>
      <c r="D375" s="186"/>
      <c r="E375" s="186"/>
      <c r="F375" s="186"/>
      <c r="G375" s="186"/>
      <c r="H375" s="186"/>
      <c r="I375" s="186"/>
      <c r="J375" s="186"/>
      <c r="K375" s="186"/>
      <c r="L375" s="186"/>
      <c r="M375" s="186"/>
      <c r="N375" s="186"/>
      <c r="O375" s="186"/>
      <c r="P375" s="67"/>
      <c r="Q375" s="11"/>
      <c r="R375" s="11"/>
      <c r="S375" s="11"/>
      <c r="T375" s="62"/>
      <c r="U375" s="187"/>
      <c r="V375" s="185"/>
    </row>
    <row r="376" spans="2:22" x14ac:dyDescent="0.2">
      <c r="B376" s="32"/>
      <c r="C376" s="62"/>
      <c r="D376" s="186"/>
      <c r="E376" s="186"/>
      <c r="F376" s="186"/>
      <c r="G376" s="186"/>
      <c r="H376" s="186"/>
      <c r="I376" s="186"/>
      <c r="J376" s="186"/>
      <c r="K376" s="186"/>
      <c r="L376" s="186"/>
      <c r="M376" s="186"/>
      <c r="N376" s="186"/>
      <c r="O376" s="186"/>
      <c r="P376" s="67"/>
      <c r="Q376" s="11"/>
      <c r="R376" s="11"/>
      <c r="S376" s="11"/>
      <c r="T376" s="62"/>
      <c r="U376" s="187"/>
      <c r="V376" s="185"/>
    </row>
    <row r="377" spans="2:22" x14ac:dyDescent="0.2">
      <c r="B377" s="32"/>
      <c r="C377" s="62"/>
      <c r="D377" s="186"/>
      <c r="E377" s="186"/>
      <c r="F377" s="186"/>
      <c r="G377" s="186"/>
      <c r="H377" s="186"/>
      <c r="I377" s="186"/>
      <c r="J377" s="186"/>
      <c r="K377" s="186"/>
      <c r="L377" s="186"/>
      <c r="M377" s="186"/>
      <c r="N377" s="186"/>
      <c r="O377" s="186"/>
      <c r="P377" s="67"/>
      <c r="Q377" s="11"/>
      <c r="R377" s="11"/>
      <c r="S377" s="11"/>
      <c r="T377" s="62"/>
      <c r="U377" s="187"/>
      <c r="V377" s="185"/>
    </row>
    <row r="378" spans="2:22" x14ac:dyDescent="0.2">
      <c r="B378" s="32"/>
      <c r="C378" s="62"/>
      <c r="D378" s="186"/>
      <c r="E378" s="186"/>
      <c r="F378" s="186"/>
      <c r="G378" s="186"/>
      <c r="H378" s="186"/>
      <c r="I378" s="186"/>
      <c r="J378" s="186"/>
      <c r="K378" s="186"/>
      <c r="L378" s="186"/>
      <c r="M378" s="186"/>
      <c r="N378" s="186"/>
      <c r="O378" s="186"/>
      <c r="P378" s="67"/>
      <c r="Q378" s="11"/>
      <c r="R378" s="11"/>
      <c r="S378" s="11"/>
      <c r="T378" s="62"/>
      <c r="U378" s="187"/>
      <c r="V378" s="185"/>
    </row>
    <row r="379" spans="2:22" x14ac:dyDescent="0.2">
      <c r="B379" s="32"/>
      <c r="C379" s="62"/>
      <c r="D379" s="186"/>
      <c r="E379" s="186"/>
      <c r="F379" s="186"/>
      <c r="G379" s="186"/>
      <c r="H379" s="186"/>
      <c r="I379" s="186"/>
      <c r="J379" s="186"/>
      <c r="K379" s="186"/>
      <c r="L379" s="186"/>
      <c r="M379" s="186"/>
      <c r="N379" s="186"/>
      <c r="O379" s="186"/>
      <c r="P379" s="67"/>
      <c r="Q379" s="11"/>
      <c r="R379" s="11"/>
      <c r="S379" s="11"/>
      <c r="T379" s="62"/>
      <c r="U379" s="187"/>
      <c r="V379" s="185"/>
    </row>
    <row r="380" spans="2:22" x14ac:dyDescent="0.2">
      <c r="B380" s="32"/>
      <c r="C380" s="62"/>
      <c r="D380" s="186"/>
      <c r="E380" s="186"/>
      <c r="F380" s="186"/>
      <c r="G380" s="186"/>
      <c r="H380" s="186"/>
      <c r="I380" s="186"/>
      <c r="J380" s="186"/>
      <c r="K380" s="186"/>
      <c r="L380" s="186"/>
      <c r="M380" s="186"/>
      <c r="N380" s="186"/>
      <c r="O380" s="186"/>
      <c r="P380" s="67"/>
      <c r="Q380" s="11"/>
      <c r="R380" s="11"/>
      <c r="S380" s="11"/>
      <c r="T380" s="62"/>
      <c r="U380" s="187"/>
      <c r="V380" s="185"/>
    </row>
    <row r="381" spans="2:22" x14ac:dyDescent="0.2">
      <c r="B381" s="32"/>
      <c r="C381" s="62"/>
      <c r="D381" s="186"/>
      <c r="E381" s="186"/>
      <c r="F381" s="186"/>
      <c r="G381" s="186"/>
      <c r="H381" s="186"/>
      <c r="I381" s="186"/>
      <c r="J381" s="186"/>
      <c r="K381" s="186"/>
      <c r="L381" s="186"/>
      <c r="M381" s="186"/>
      <c r="N381" s="186"/>
      <c r="O381" s="186"/>
      <c r="P381" s="67"/>
      <c r="Q381" s="11"/>
      <c r="R381" s="11"/>
      <c r="S381" s="11"/>
      <c r="T381" s="62"/>
      <c r="U381" s="187"/>
      <c r="V381" s="185"/>
    </row>
    <row r="382" spans="2:22" x14ac:dyDescent="0.2">
      <c r="B382" s="32"/>
      <c r="C382" s="62"/>
      <c r="D382" s="186"/>
      <c r="E382" s="186"/>
      <c r="F382" s="186"/>
      <c r="G382" s="186"/>
      <c r="H382" s="186"/>
      <c r="I382" s="186"/>
      <c r="J382" s="186"/>
      <c r="K382" s="186"/>
      <c r="L382" s="186"/>
      <c r="M382" s="186"/>
      <c r="N382" s="186"/>
      <c r="O382" s="186"/>
      <c r="P382" s="67"/>
      <c r="Q382" s="11"/>
      <c r="R382" s="11"/>
      <c r="S382" s="11"/>
      <c r="T382" s="62"/>
      <c r="U382" s="187"/>
      <c r="V382" s="185"/>
    </row>
    <row r="383" spans="2:22" x14ac:dyDescent="0.2">
      <c r="B383" s="32"/>
      <c r="C383" s="62"/>
      <c r="D383" s="186"/>
      <c r="E383" s="186"/>
      <c r="F383" s="186"/>
      <c r="G383" s="186"/>
      <c r="H383" s="186"/>
      <c r="I383" s="186"/>
      <c r="J383" s="186"/>
      <c r="K383" s="186"/>
      <c r="L383" s="186"/>
      <c r="M383" s="186"/>
      <c r="N383" s="186"/>
      <c r="O383" s="186"/>
      <c r="P383" s="67"/>
      <c r="Q383" s="11"/>
      <c r="R383" s="11"/>
      <c r="S383" s="11"/>
      <c r="T383" s="62"/>
      <c r="U383" s="187"/>
      <c r="V383" s="185"/>
    </row>
    <row r="384" spans="2:22" x14ac:dyDescent="0.2">
      <c r="B384" s="32"/>
      <c r="C384" s="62"/>
      <c r="D384" s="186"/>
      <c r="E384" s="186"/>
      <c r="F384" s="186"/>
      <c r="G384" s="186"/>
      <c r="H384" s="186"/>
      <c r="I384" s="186"/>
      <c r="J384" s="186"/>
      <c r="K384" s="186"/>
      <c r="L384" s="186"/>
      <c r="M384" s="186"/>
      <c r="N384" s="186"/>
      <c r="O384" s="186"/>
      <c r="P384" s="67"/>
      <c r="Q384" s="11"/>
      <c r="R384" s="11"/>
      <c r="S384" s="11"/>
      <c r="T384" s="62"/>
      <c r="U384" s="187"/>
      <c r="V384" s="185"/>
    </row>
    <row r="385" spans="2:22" x14ac:dyDescent="0.2">
      <c r="B385" s="32"/>
      <c r="C385" s="62"/>
      <c r="D385" s="186"/>
      <c r="E385" s="186"/>
      <c r="F385" s="186"/>
      <c r="G385" s="186"/>
      <c r="H385" s="186"/>
      <c r="I385" s="186"/>
      <c r="J385" s="186"/>
      <c r="K385" s="186"/>
      <c r="L385" s="186"/>
      <c r="M385" s="186"/>
      <c r="N385" s="186"/>
      <c r="O385" s="186"/>
      <c r="P385" s="67"/>
      <c r="Q385" s="11"/>
      <c r="R385" s="11"/>
      <c r="S385" s="11"/>
      <c r="T385" s="62"/>
      <c r="U385" s="187"/>
      <c r="V385" s="185"/>
    </row>
    <row r="386" spans="2:22" x14ac:dyDescent="0.2">
      <c r="B386" s="11"/>
      <c r="C386" s="11"/>
      <c r="D386" s="11"/>
      <c r="E386" s="11"/>
      <c r="F386" s="11"/>
      <c r="G386" s="11"/>
      <c r="H386" s="11"/>
      <c r="I386" s="11"/>
      <c r="J386" s="11"/>
      <c r="K386" s="11"/>
      <c r="L386" s="11"/>
      <c r="M386" s="186"/>
      <c r="N386" s="11"/>
      <c r="O386" s="11"/>
      <c r="P386" s="11"/>
      <c r="Q386" s="11"/>
      <c r="R386" s="11"/>
      <c r="S386" s="11"/>
      <c r="T386" s="11"/>
      <c r="U386" s="11"/>
      <c r="V386" s="185"/>
    </row>
  </sheetData>
  <mergeCells count="4">
    <mergeCell ref="B4:F4"/>
    <mergeCell ref="T15:U15"/>
    <mergeCell ref="B2:P2"/>
    <mergeCell ref="H15:I15"/>
  </mergeCells>
  <pageMargins left="0.7" right="0.7" top="0.75" bottom="0.75" header="0.3" footer="0.3"/>
  <pageSetup orientation="portrait" r:id="rId1"/>
  <headerFooter>
    <oddHeader>&amp;C
&amp;G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00"/>
  </sheetPr>
  <dimension ref="B2:U29"/>
  <sheetViews>
    <sheetView showGridLines="0" rightToLeft="1" topLeftCell="B1" zoomScale="83" zoomScaleNormal="110" workbookViewId="0">
      <selection activeCell="E7" sqref="E7"/>
    </sheetView>
  </sheetViews>
  <sheetFormatPr defaultColWidth="8.88671875" defaultRowHeight="11.4" x14ac:dyDescent="0.2"/>
  <cols>
    <col min="1" max="1" width="0" style="1" hidden="1" customWidth="1"/>
    <col min="2" max="7" width="24.44140625" style="1" customWidth="1"/>
    <col min="8" max="8" width="29.109375" style="1" bestFit="1" customWidth="1"/>
    <col min="9" max="13" width="24.44140625" style="1" customWidth="1"/>
    <col min="14" max="14" width="17.44140625" style="1" bestFit="1" customWidth="1"/>
    <col min="15" max="15" width="11" style="1" bestFit="1" customWidth="1"/>
    <col min="16" max="16" width="12" style="1" bestFit="1" customWidth="1"/>
    <col min="17" max="17" width="8.88671875" style="1"/>
    <col min="18" max="18" width="10.44140625" style="1" bestFit="1" customWidth="1"/>
    <col min="19" max="19" width="11.5546875" style="1" bestFit="1" customWidth="1"/>
    <col min="20" max="20" width="10.5546875" style="1" bestFit="1" customWidth="1"/>
    <col min="21" max="16384" width="8.88671875" style="1"/>
  </cols>
  <sheetData>
    <row r="2" spans="2:19" ht="17.100000000000001" customHeight="1" x14ac:dyDescent="0.2">
      <c r="B2" s="217" t="s">
        <v>19</v>
      </c>
      <c r="C2" s="217"/>
      <c r="D2" s="217"/>
      <c r="E2" s="217"/>
      <c r="F2" s="217"/>
      <c r="G2" s="217"/>
      <c r="H2" s="217"/>
      <c r="I2" s="217"/>
      <c r="J2" s="217"/>
      <c r="K2" s="217"/>
      <c r="L2" s="217"/>
      <c r="M2" s="217"/>
      <c r="N2" s="217"/>
    </row>
    <row r="4" spans="2:19" x14ac:dyDescent="0.2">
      <c r="B4" s="215" t="s">
        <v>20</v>
      </c>
      <c r="C4" s="215"/>
      <c r="D4" s="215"/>
      <c r="E4" s="215"/>
      <c r="F4" s="215"/>
    </row>
    <row r="6" spans="2:19" x14ac:dyDescent="0.2">
      <c r="B6" s="163" t="s">
        <v>13</v>
      </c>
      <c r="C6" s="163">
        <v>12</v>
      </c>
      <c r="E6" s="17" t="s">
        <v>18</v>
      </c>
      <c r="F6" s="14">
        <f>XIRR(S17:S29,R17:R29)</f>
        <v>0.30306856036186225</v>
      </c>
    </row>
    <row r="7" spans="2:19" x14ac:dyDescent="0.2">
      <c r="B7" s="164"/>
      <c r="C7" s="164"/>
    </row>
    <row r="8" spans="2:19" x14ac:dyDescent="0.2">
      <c r="B8" s="163" t="s">
        <v>23</v>
      </c>
      <c r="C8" s="165">
        <f>المدخلات!E73</f>
        <v>10000</v>
      </c>
    </row>
    <row r="9" spans="2:19" x14ac:dyDescent="0.2">
      <c r="B9" s="163" t="s">
        <v>126</v>
      </c>
      <c r="C9" s="165">
        <f>-SUM(E18:E29)</f>
        <v>1116.1407076496046</v>
      </c>
    </row>
    <row r="10" spans="2:19" x14ac:dyDescent="0.2">
      <c r="B10" s="163" t="s">
        <v>24</v>
      </c>
      <c r="C10" s="165">
        <f>SUM($M$17:$M$29)</f>
        <v>400</v>
      </c>
    </row>
    <row r="11" spans="2:19" x14ac:dyDescent="0.2">
      <c r="B11" s="163" t="s">
        <v>25</v>
      </c>
      <c r="C11" s="166">
        <f>EDATE(المدخلات!E79,C6)</f>
        <v>45687</v>
      </c>
      <c r="S11" s="8"/>
    </row>
    <row r="12" spans="2:19" x14ac:dyDescent="0.2">
      <c r="S12" s="8"/>
    </row>
    <row r="13" spans="2:19" x14ac:dyDescent="0.2">
      <c r="I13" s="2"/>
      <c r="O13" s="15"/>
      <c r="S13" s="7"/>
    </row>
    <row r="14" spans="2:19" x14ac:dyDescent="0.2">
      <c r="F14" s="12"/>
      <c r="O14" s="7"/>
      <c r="P14" s="8"/>
      <c r="Q14" s="8"/>
    </row>
    <row r="15" spans="2:19" x14ac:dyDescent="0.2">
      <c r="M15" s="12"/>
      <c r="R15" s="216" t="s">
        <v>28</v>
      </c>
      <c r="S15" s="216"/>
    </row>
    <row r="16" spans="2:19" x14ac:dyDescent="0.2">
      <c r="B16" s="13" t="s">
        <v>21</v>
      </c>
      <c r="C16" s="13" t="s">
        <v>22</v>
      </c>
      <c r="D16" s="13" t="s">
        <v>78</v>
      </c>
      <c r="E16" s="13" t="s">
        <v>128</v>
      </c>
      <c r="F16" s="13" t="s">
        <v>37</v>
      </c>
      <c r="G16" s="13" t="s">
        <v>120</v>
      </c>
      <c r="H16" s="13" t="s">
        <v>95</v>
      </c>
      <c r="I16" s="13" t="s">
        <v>79</v>
      </c>
      <c r="J16" s="13" t="s">
        <v>9</v>
      </c>
      <c r="K16" s="13" t="s">
        <v>10</v>
      </c>
      <c r="L16" s="13" t="s">
        <v>8</v>
      </c>
      <c r="M16" s="13" t="s">
        <v>81</v>
      </c>
      <c r="N16" s="13" t="s">
        <v>82</v>
      </c>
      <c r="R16" s="13" t="s">
        <v>26</v>
      </c>
      <c r="S16" s="13" t="s">
        <v>27</v>
      </c>
    </row>
    <row r="17" spans="2:21" x14ac:dyDescent="0.2">
      <c r="B17" s="16">
        <v>0</v>
      </c>
      <c r="C17" s="9">
        <f>المدخلات!E78</f>
        <v>45292</v>
      </c>
      <c r="D17" s="6">
        <v>0</v>
      </c>
      <c r="E17" s="6">
        <v>0</v>
      </c>
      <c r="F17" s="6">
        <v>0</v>
      </c>
      <c r="G17" s="6">
        <v>0</v>
      </c>
      <c r="H17" s="6">
        <v>0</v>
      </c>
      <c r="I17" s="6">
        <v>0</v>
      </c>
      <c r="J17" s="6" t="str">
        <f>IF(AND(المدخلات!$H$73="دفعة مقدمة",B17=0),المدخلات!$J$73,"")</f>
        <v/>
      </c>
      <c r="K17" s="6" t="str">
        <f>IF(AND(المدخلات!$H$74="دفعة مقدمة",B17=0),المدخلات!$J$74,"")</f>
        <v/>
      </c>
      <c r="L17" s="6">
        <f>IF(AND(المدخلات!$H$75="دفعة مقدمة",B17=0),المدخلات!$J$75,"")</f>
        <v>100</v>
      </c>
      <c r="M17" s="6">
        <f t="shared" ref="M17:M29" si="0">IF(B17&lt;&gt;"",SUM(J17:L17),"")</f>
        <v>100</v>
      </c>
      <c r="N17" s="4">
        <f t="shared" ref="N17:N29" si="1">IF(B17&lt;&gt;"",(-H17+M17),"")</f>
        <v>100</v>
      </c>
      <c r="R17" s="9">
        <f>C17</f>
        <v>45292</v>
      </c>
      <c r="S17" s="5">
        <f>-(C8-N17)</f>
        <v>-9900</v>
      </c>
      <c r="T17" s="124"/>
      <c r="U17" s="8"/>
    </row>
    <row r="18" spans="2:21" x14ac:dyDescent="0.2">
      <c r="B18" s="16">
        <v>1</v>
      </c>
      <c r="C18" s="9">
        <f>المدخلات!E79</f>
        <v>45321</v>
      </c>
      <c r="D18" s="6">
        <f>IFERROR(PPMT(المدخلات!$E$74/12,B18,$C$6,المدخلات!$E$73)," ")</f>
        <v>-759.67839230413358</v>
      </c>
      <c r="E18" s="6">
        <f>IFERROR(IPMT(المدخلات!$E$74/12,B18,$C$6,المدخلات!$E$73)," ")</f>
        <v>-166.66666666666666</v>
      </c>
      <c r="F18" s="6">
        <f>D18</f>
        <v>-759.67839230413358</v>
      </c>
      <c r="G18" s="6">
        <f>E18</f>
        <v>-166.66666666666666</v>
      </c>
      <c r="H18" s="6">
        <f>D18+E18</f>
        <v>-926.34505897080021</v>
      </c>
      <c r="I18" s="6">
        <f>C8+D18</f>
        <v>9240.321607695867</v>
      </c>
      <c r="J18" s="6" t="str">
        <f>IF(B18&lt;&gt;"",IF(AND(المدخلات!$H$73="سنوي",MOD(B18,12)=0),المدخلات!$J$73,IF(AND(المدخلات!$H$73="القسط (الدفعة) الاول",B18=1),المدخلات!$J$73,IF(المدخلات!$H$73="شهري",المدخلات!$J$73,""))),"")</f>
        <v/>
      </c>
      <c r="K18" s="6" t="str">
        <f>IF(B18&lt;&gt;"",IF(AND(المدخلات!$H$74="سنوي",MOD(B18,12)=0),المدخلات!$J$74,IF(AND(المدخلات!$H$74="القسط (الدفعة) الاول",B18=1),المدخلات!$J$74,IF(المدخلات!$H$74="شهري",المدخلات!$J$74,""))),"")</f>
        <v/>
      </c>
      <c r="L18" s="6" t="str">
        <f>IF(B18&lt;&gt;"",IF(AND(المدخلات!$H$75="سنوي",MOD(B18,12)=0),المدخلات!$J$75,IF(AND(المدخلات!$H$75="القسط (الدفعة) الاول",B18=1),المدخلات!$J$75,IF(المدخلات!$H$75="شهري",المدخلات!$J$75,IF(AND(المدخلات!$H$75="End of the loan",B18=12),المدخلات!$J$75,"")))),"")</f>
        <v/>
      </c>
      <c r="M18" s="6">
        <f t="shared" si="0"/>
        <v>0</v>
      </c>
      <c r="N18" s="4">
        <f t="shared" si="1"/>
        <v>926.34505897080021</v>
      </c>
      <c r="R18" s="9">
        <f t="shared" ref="R18:R29" si="2">C18</f>
        <v>45321</v>
      </c>
      <c r="S18" s="5">
        <f>IFERROR(ROUND((_xlfn.IFNA(VLOOKUP(R18,$C$18:$N$29,12,0),0)),2)," ")</f>
        <v>926.35</v>
      </c>
      <c r="T18" s="124"/>
      <c r="U18" s="64"/>
    </row>
    <row r="19" spans="2:21" x14ac:dyDescent="0.2">
      <c r="B19" s="16">
        <f>IF(B18="","",IF((B18+1)&lt;=$C$6,B18+1,""))</f>
        <v>2</v>
      </c>
      <c r="C19" s="9">
        <f>IF(B19="","",EDATE($C$18,(B19-1)))</f>
        <v>45351</v>
      </c>
      <c r="D19" s="6">
        <f>IFERROR(IF(B19&lt;&gt;"",PPMT(المدخلات!$E$74/12,B19,$C$6,المدخلات!$E$73),"")," ")</f>
        <v>-772.33969884253588</v>
      </c>
      <c r="E19" s="6">
        <f>IFERROR(IPMT(المدخلات!$E$74/12,B19,$C$6,المدخلات!$E$73)," ")</f>
        <v>-154.00536012826444</v>
      </c>
      <c r="F19" s="6">
        <f t="shared" ref="F19:F29" si="3">IF(B19&lt;&gt;"",F18+D19,"")</f>
        <v>-1532.0180911466696</v>
      </c>
      <c r="G19" s="6">
        <f t="shared" ref="G19:G29" si="4">IF(B19&lt;&gt;"",G18+E19,"")</f>
        <v>-320.67202679493107</v>
      </c>
      <c r="H19" s="6">
        <f t="shared" ref="H19:H29" si="5">IF(B19&lt;&gt;"",D19+E19,"")</f>
        <v>-926.34505897080032</v>
      </c>
      <c r="I19" s="6">
        <f t="shared" ref="I19:I29" si="6">IF(B19&lt;&gt;"",I18+D19,"")</f>
        <v>8467.9819088533313</v>
      </c>
      <c r="J19" s="6" t="str">
        <f>IF(B19&lt;&gt;"",IF(AND(المدخلات!$H$73="سنوي",MOD(B19,12)=0),المدخلات!$J$73,IF(AND(المدخلات!$H$73="القسط (الدفعة) الاول",B19=1),المدخلات!$J$73,IF(المدخلات!$H$73="شهري",المدخلات!$J$73,""))),"")</f>
        <v/>
      </c>
      <c r="K19" s="6" t="str">
        <f>IF(B19&lt;&gt;"",IF(AND(المدخلات!$H$74="سنوي",MOD(B19,12)=0),المدخلات!$J$74,IF(AND(المدخلات!$H$74="القسط (الدفعة) الاول",B19=1),المدخلات!$J$74,IF(المدخلات!$H$74="شهري",المدخلات!$J$74,""))),"")</f>
        <v/>
      </c>
      <c r="L19" s="6" t="str">
        <f>IF(B19&lt;&gt;"",IF(AND(المدخلات!$H$75="سنوي",MOD(B19,12)=0),المدخلات!$J$75,IF(AND(المدخلات!$H$75="القسط (الدفعة) الاول",B19=1),المدخلات!$J$75,IF(المدخلات!$H$75="شهري",المدخلات!$J$75,IF(AND(المدخلات!$H$75="End of the loan",B19=12),المدخلات!$J$75,"")))),"")</f>
        <v/>
      </c>
      <c r="M19" s="6">
        <f t="shared" si="0"/>
        <v>0</v>
      </c>
      <c r="N19" s="4">
        <f t="shared" si="1"/>
        <v>926.34505897080032</v>
      </c>
      <c r="R19" s="9">
        <f t="shared" si="2"/>
        <v>45351</v>
      </c>
      <c r="S19" s="5">
        <f t="shared" ref="S19:S29" si="7">IFERROR(ROUND((_xlfn.IFNA(VLOOKUP(R19,$C$18:$N$29,12,0),0)),2)," ")</f>
        <v>926.35</v>
      </c>
      <c r="T19" s="124"/>
      <c r="U19" s="64"/>
    </row>
    <row r="20" spans="2:21" x14ac:dyDescent="0.2">
      <c r="B20" s="16">
        <f t="shared" ref="B20:B29" si="8">IF(B19="","",IF((B19+1)&lt;=$C$6,B19+1,""))</f>
        <v>3</v>
      </c>
      <c r="C20" s="9">
        <f t="shared" ref="C20:C29" si="9">IF(B20="","",EDATE($C$18,(B20-1)))</f>
        <v>45381</v>
      </c>
      <c r="D20" s="6">
        <f>IFERROR(IF(B20&lt;&gt;"",PPMT(المدخلات!$E$74/12,B20,$C$6,المدخلات!$E$73),"")," ")</f>
        <v>-785.21202715657819</v>
      </c>
      <c r="E20" s="6">
        <f>IFERROR(IPMT(المدخلات!$E$74/12,B20,$C$6,المدخلات!$E$73)," ")</f>
        <v>-141.13303181422216</v>
      </c>
      <c r="F20" s="6">
        <f t="shared" si="3"/>
        <v>-2317.2301183032478</v>
      </c>
      <c r="G20" s="6">
        <f t="shared" si="4"/>
        <v>-461.80505860915321</v>
      </c>
      <c r="H20" s="6">
        <f t="shared" si="5"/>
        <v>-926.34505897080032</v>
      </c>
      <c r="I20" s="6">
        <f t="shared" si="6"/>
        <v>7682.7698816967531</v>
      </c>
      <c r="J20" s="6" t="str">
        <f>IF(B20&lt;&gt;"",IF(AND(المدخلات!$H$73="سنوي",MOD(B20,12)=0),المدخلات!$J$73,IF(AND(المدخلات!$H$73="القسط (الدفعة) الاول",B20=1),المدخلات!$J$73,IF(المدخلات!$H$73="شهري",المدخلات!$J$73,""))),"")</f>
        <v/>
      </c>
      <c r="K20" s="6" t="str">
        <f>IF(B20&lt;&gt;"",IF(AND(المدخلات!$H$74="سنوي",MOD(B20,12)=0),المدخلات!$J$74,IF(AND(المدخلات!$H$74="القسط (الدفعة) الاول",B20=1),المدخلات!$J$74,IF(المدخلات!$H$74="شهري",المدخلات!$J$74,""))),"")</f>
        <v/>
      </c>
      <c r="L20" s="6" t="str">
        <f>IF(B20&lt;&gt;"",IF(AND(المدخلات!$H$75="سنوي",MOD(B20,12)=0),المدخلات!$J$75,IF(AND(المدخلات!$H$75="القسط (الدفعة) الاول",B20=1),المدخلات!$J$75,IF(المدخلات!$H$75="شهري",المدخلات!$J$75,IF(AND(المدخلات!$H$75="End of the loan",B20=12),المدخلات!$J$75,"")))),"")</f>
        <v/>
      </c>
      <c r="M20" s="6">
        <f t="shared" si="0"/>
        <v>0</v>
      </c>
      <c r="N20" s="4">
        <f t="shared" si="1"/>
        <v>926.34505897080032</v>
      </c>
      <c r="R20" s="9">
        <f t="shared" si="2"/>
        <v>45381</v>
      </c>
      <c r="S20" s="5">
        <f t="shared" si="7"/>
        <v>926.35</v>
      </c>
      <c r="T20" s="124"/>
      <c r="U20" s="64"/>
    </row>
    <row r="21" spans="2:21" x14ac:dyDescent="0.2">
      <c r="B21" s="16">
        <f t="shared" si="8"/>
        <v>4</v>
      </c>
      <c r="C21" s="9">
        <f t="shared" si="9"/>
        <v>45412</v>
      </c>
      <c r="D21" s="6">
        <f>IFERROR(IF(B21&lt;&gt;"",PPMT(المدخلات!$E$74/12,B21,$C$6,المدخلات!$E$73),"")," ")</f>
        <v>-798.29889427585454</v>
      </c>
      <c r="E21" s="6">
        <f>IFERROR(IPMT(المدخلات!$E$74/12,B21,$C$6,المدخلات!$E$73)," ")</f>
        <v>-128.04616469494584</v>
      </c>
      <c r="F21" s="6">
        <f t="shared" si="3"/>
        <v>-3115.5290125791025</v>
      </c>
      <c r="G21" s="6">
        <f t="shared" si="4"/>
        <v>-589.85122330409899</v>
      </c>
      <c r="H21" s="6">
        <f t="shared" si="5"/>
        <v>-926.34505897080044</v>
      </c>
      <c r="I21" s="6">
        <f t="shared" si="6"/>
        <v>6884.4709874208984</v>
      </c>
      <c r="J21" s="6" t="str">
        <f>IF(B21&lt;&gt;"",IF(AND(المدخلات!$H$73="سنوي",MOD(B21,12)=0),المدخلات!$J$73,IF(AND(المدخلات!$H$73="القسط (الدفعة) الاول",B21=1),المدخلات!$J$73,IF(المدخلات!$H$73="شهري",المدخلات!$J$73,""))),"")</f>
        <v/>
      </c>
      <c r="K21" s="6" t="str">
        <f>IF(B21&lt;&gt;"",IF(AND(المدخلات!$H$74="سنوي",MOD(B21,12)=0),المدخلات!$J$74,IF(AND(المدخلات!$H$74="القسط (الدفعة) الاول",B21=1),المدخلات!$J$74,IF(المدخلات!$H$74="شهري",المدخلات!$J$74,""))),"")</f>
        <v/>
      </c>
      <c r="L21" s="6" t="str">
        <f>IF(B21&lt;&gt;"",IF(AND(المدخلات!$H$75="سنوي",MOD(B21,12)=0),المدخلات!$J$75,IF(AND(المدخلات!$H$75="القسط (الدفعة) الاول",B21=1),المدخلات!$J$75,IF(المدخلات!$H$75="شهري",المدخلات!$J$75,IF(AND(المدخلات!$H$75="End of the loan",B21=12),المدخلات!$J$75,"")))),"")</f>
        <v/>
      </c>
      <c r="M21" s="6">
        <f t="shared" si="0"/>
        <v>0</v>
      </c>
      <c r="N21" s="4">
        <f t="shared" si="1"/>
        <v>926.34505897080044</v>
      </c>
      <c r="R21" s="9">
        <f t="shared" si="2"/>
        <v>45412</v>
      </c>
      <c r="S21" s="5">
        <f t="shared" si="7"/>
        <v>926.35</v>
      </c>
      <c r="T21" s="124"/>
      <c r="U21" s="64"/>
    </row>
    <row r="22" spans="2:21" x14ac:dyDescent="0.2">
      <c r="B22" s="16">
        <f t="shared" si="8"/>
        <v>5</v>
      </c>
      <c r="C22" s="9">
        <f t="shared" si="9"/>
        <v>45442</v>
      </c>
      <c r="D22" s="6">
        <f>IFERROR(IF(B22&lt;&gt;"",PPMT(المدخلات!$E$74/12,B22,$C$6,المدخلات!$E$73),"")," ")</f>
        <v>-811.60387584711862</v>
      </c>
      <c r="E22" s="6">
        <f>IFERROR(IPMT(المدخلات!$E$74/12,B22,$C$6,المدخلات!$E$73)," ")</f>
        <v>-114.74118312368162</v>
      </c>
      <c r="F22" s="6">
        <f t="shared" si="3"/>
        <v>-3927.1328884262211</v>
      </c>
      <c r="G22" s="6">
        <f t="shared" si="4"/>
        <v>-704.59240642778059</v>
      </c>
      <c r="H22" s="6">
        <f t="shared" si="5"/>
        <v>-926.34505897080021</v>
      </c>
      <c r="I22" s="6">
        <f t="shared" si="6"/>
        <v>6072.8671115737798</v>
      </c>
      <c r="J22" s="6" t="str">
        <f>IF(B22&lt;&gt;"",IF(AND(المدخلات!$H$73="سنوي",MOD(B22,12)=0),المدخلات!$J$73,IF(AND(المدخلات!$H$73="القسط (الدفعة) الاول",B22=1),المدخلات!$J$73,IF(المدخلات!$H$73="شهري",المدخلات!$J$73,""))),"")</f>
        <v/>
      </c>
      <c r="K22" s="6" t="str">
        <f>IF(B22&lt;&gt;"",IF(AND(المدخلات!$H$74="سنوي",MOD(B22,12)=0),المدخلات!$J$74,IF(AND(المدخلات!$H$74="القسط (الدفعة) الاول",B22=1),المدخلات!$J$74,IF(المدخلات!$H$74="شهري",المدخلات!$J$74,""))),"")</f>
        <v/>
      </c>
      <c r="L22" s="6" t="str">
        <f>IF(B22&lt;&gt;"",IF(AND(المدخلات!$H$75="سنوي",MOD(B22,12)=0),المدخلات!$J$75,IF(AND(المدخلات!$H$75="القسط (الدفعة) الاول",B22=1),المدخلات!$J$75,IF(المدخلات!$H$75="شهري",المدخلات!$J$75,IF(AND(المدخلات!$H$75="End of the loan",B22=12),المدخلات!$J$75,"")))),"")</f>
        <v/>
      </c>
      <c r="M22" s="6">
        <f t="shared" si="0"/>
        <v>0</v>
      </c>
      <c r="N22" s="4">
        <f t="shared" si="1"/>
        <v>926.34505897080021</v>
      </c>
      <c r="R22" s="9">
        <f t="shared" si="2"/>
        <v>45442</v>
      </c>
      <c r="S22" s="5">
        <f t="shared" si="7"/>
        <v>926.35</v>
      </c>
      <c r="T22" s="124"/>
      <c r="U22" s="64"/>
    </row>
    <row r="23" spans="2:21" x14ac:dyDescent="0.2">
      <c r="B23" s="16">
        <f t="shared" si="8"/>
        <v>6</v>
      </c>
      <c r="C23" s="9">
        <f t="shared" si="9"/>
        <v>45473</v>
      </c>
      <c r="D23" s="6">
        <f>IFERROR(IF(B23&lt;&gt;"",PPMT(المدخلات!$E$74/12,B23,$C$6,المدخلات!$E$73),"")," ")</f>
        <v>-825.1306071112374</v>
      </c>
      <c r="E23" s="6">
        <f>IFERROR(IPMT(المدخلات!$E$74/12,B23,$C$6,المدخلات!$E$73)," ")</f>
        <v>-101.21445185956297</v>
      </c>
      <c r="F23" s="6">
        <f t="shared" si="3"/>
        <v>-4752.2634955374588</v>
      </c>
      <c r="G23" s="6">
        <f t="shared" si="4"/>
        <v>-805.80685828734352</v>
      </c>
      <c r="H23" s="6">
        <f t="shared" si="5"/>
        <v>-926.34505897080032</v>
      </c>
      <c r="I23" s="6">
        <f t="shared" si="6"/>
        <v>5247.7365044625421</v>
      </c>
      <c r="J23" s="6" t="str">
        <f>IF(B23&lt;&gt;"",IF(AND(المدخلات!$H$73="سنوي",MOD(B23,12)=0),المدخلات!$J$73,IF(AND(المدخلات!$H$73="القسط (الدفعة) الاول",B23=1),المدخلات!$J$73,IF(المدخلات!$H$73="شهري",المدخلات!$J$73,""))),"")</f>
        <v/>
      </c>
      <c r="K23" s="6" t="str">
        <f>IF(B23&lt;&gt;"",IF(AND(المدخلات!$H$74="سنوي",MOD(B23,12)=0),المدخلات!$J$74,IF(AND(المدخلات!$H$74="القسط (الدفعة) الاول",B23=1),المدخلات!$J$74,IF(المدخلات!$H$74="شهري",المدخلات!$J$74,""))),"")</f>
        <v/>
      </c>
      <c r="L23" s="6" t="str">
        <f>IF(B23&lt;&gt;"",IF(AND(المدخلات!$H$75="سنوي",MOD(B23,12)=0),المدخلات!$J$75,IF(AND(المدخلات!$H$75="القسط (الدفعة) الاول",B23=1),المدخلات!$J$75,IF(المدخلات!$H$75="شهري",المدخلات!$J$75,IF(AND(المدخلات!$H$75="End of the loan",B23=12),المدخلات!$J$75,"")))),"")</f>
        <v/>
      </c>
      <c r="M23" s="6">
        <f t="shared" si="0"/>
        <v>0</v>
      </c>
      <c r="N23" s="4">
        <f t="shared" si="1"/>
        <v>926.34505897080032</v>
      </c>
      <c r="R23" s="9">
        <f t="shared" si="2"/>
        <v>45473</v>
      </c>
      <c r="S23" s="5">
        <f t="shared" si="7"/>
        <v>926.35</v>
      </c>
      <c r="T23" s="124"/>
      <c r="U23" s="64"/>
    </row>
    <row r="24" spans="2:21" x14ac:dyDescent="0.2">
      <c r="B24" s="16">
        <f t="shared" si="8"/>
        <v>7</v>
      </c>
      <c r="C24" s="9">
        <f t="shared" si="9"/>
        <v>45503</v>
      </c>
      <c r="D24" s="6">
        <f>IFERROR(IF(B24&lt;&gt;"",PPMT(المدخلات!$E$74/12,B24,$C$6,المدخلات!$E$73),"")," ")</f>
        <v>-838.8827838964246</v>
      </c>
      <c r="E24" s="6">
        <f>IFERROR(IPMT(المدخلات!$E$74/12,B24,$C$6,المدخلات!$E$73)," ")</f>
        <v>-87.462275074375682</v>
      </c>
      <c r="F24" s="6">
        <f t="shared" si="3"/>
        <v>-5591.1462794338831</v>
      </c>
      <c r="G24" s="6">
        <f t="shared" si="4"/>
        <v>-893.26913336171924</v>
      </c>
      <c r="H24" s="6">
        <f t="shared" si="5"/>
        <v>-926.34505897080032</v>
      </c>
      <c r="I24" s="6">
        <f t="shared" si="6"/>
        <v>4408.8537205661178</v>
      </c>
      <c r="J24" s="6" t="str">
        <f>IF(B24&lt;&gt;"",IF(AND(المدخلات!$H$73="سنوي",MOD(B24,12)=0),المدخلات!$J$73,IF(AND(المدخلات!$H$73="القسط (الدفعة) الاول",B24=1),المدخلات!$J$73,IF(المدخلات!$H$73="شهري",المدخلات!$J$73,""))),"")</f>
        <v/>
      </c>
      <c r="K24" s="6" t="str">
        <f>IF(B24&lt;&gt;"",IF(AND(المدخلات!$H$74="سنوي",MOD(B24,12)=0),المدخلات!$J$74,IF(AND(المدخلات!$H$74="القسط (الدفعة) الاول",B24=1),المدخلات!$J$74,IF(المدخلات!$H$74="شهري",المدخلات!$J$74,""))),"")</f>
        <v/>
      </c>
      <c r="L24" s="6" t="str">
        <f>IF(B24&lt;&gt;"",IF(AND(المدخلات!$H$75="سنوي",MOD(B24,12)=0),المدخلات!$J$75,IF(AND(المدخلات!$H$75="القسط (الدفعة) الاول",B24=1),المدخلات!$J$75,IF(المدخلات!$H$75="شهري",المدخلات!$J$75,IF(AND(المدخلات!$H$75="End of the loan",B24=12),المدخلات!$J$75,"")))),"")</f>
        <v/>
      </c>
      <c r="M24" s="6">
        <f t="shared" si="0"/>
        <v>0</v>
      </c>
      <c r="N24" s="4">
        <f t="shared" si="1"/>
        <v>926.34505897080032</v>
      </c>
      <c r="R24" s="9">
        <f t="shared" si="2"/>
        <v>45503</v>
      </c>
      <c r="S24" s="5">
        <f t="shared" si="7"/>
        <v>926.35</v>
      </c>
      <c r="T24" s="124"/>
      <c r="U24" s="64"/>
    </row>
    <row r="25" spans="2:21" x14ac:dyDescent="0.2">
      <c r="B25" s="16">
        <f t="shared" si="8"/>
        <v>8</v>
      </c>
      <c r="C25" s="9">
        <f t="shared" si="9"/>
        <v>45534</v>
      </c>
      <c r="D25" s="6">
        <f>IFERROR(IF(B25&lt;&gt;"",PPMT(المدخلات!$E$74/12,B25,$C$6,المدخلات!$E$73),"")," ")</f>
        <v>-852.86416362803175</v>
      </c>
      <c r="E25" s="6">
        <f>IFERROR(IPMT(المدخلات!$E$74/12,B25,$C$6,المدخلات!$E$73)," ")</f>
        <v>-73.480895342768619</v>
      </c>
      <c r="F25" s="6">
        <f t="shared" si="3"/>
        <v>-6444.0104430619149</v>
      </c>
      <c r="G25" s="6">
        <f t="shared" si="4"/>
        <v>-966.75002870448782</v>
      </c>
      <c r="H25" s="6">
        <f t="shared" si="5"/>
        <v>-926.34505897080032</v>
      </c>
      <c r="I25" s="6">
        <f t="shared" si="6"/>
        <v>3555.989556938086</v>
      </c>
      <c r="J25" s="6" t="str">
        <f>IF(B25&lt;&gt;"",IF(AND(المدخلات!$H$73="سنوي",MOD(B25,12)=0),المدخلات!$J$73,IF(AND(المدخلات!$H$73="القسط (الدفعة) الاول",B25=1),المدخلات!$J$73,IF(المدخلات!$H$73="شهري",المدخلات!$J$73,""))),"")</f>
        <v/>
      </c>
      <c r="K25" s="6" t="str">
        <f>IF(B25&lt;&gt;"",IF(AND(المدخلات!$H$74="سنوي",MOD(B25,12)=0),المدخلات!$J$74,IF(AND(المدخلات!$H$74="القسط (الدفعة) الاول",B25=1),المدخلات!$J$74,IF(المدخلات!$H$74="شهري",المدخلات!$J$74,""))),"")</f>
        <v/>
      </c>
      <c r="L25" s="6" t="str">
        <f>IF(B25&lt;&gt;"",IF(AND(المدخلات!$H$75="سنوي",MOD(B25,12)=0),المدخلات!$J$75,IF(AND(المدخلات!$H$75="القسط (الدفعة) الاول",B25=1),المدخلات!$J$75,IF(المدخلات!$H$75="شهري",المدخلات!$J$75,IF(AND(المدخلات!$H$75="End of the loan",B25=12),المدخلات!$J$75,"")))),"")</f>
        <v/>
      </c>
      <c r="M25" s="6">
        <f t="shared" si="0"/>
        <v>0</v>
      </c>
      <c r="N25" s="4">
        <f t="shared" si="1"/>
        <v>926.34505897080032</v>
      </c>
      <c r="R25" s="9">
        <f t="shared" si="2"/>
        <v>45534</v>
      </c>
      <c r="S25" s="5">
        <f t="shared" si="7"/>
        <v>926.35</v>
      </c>
      <c r="T25" s="124"/>
      <c r="U25" s="64"/>
    </row>
    <row r="26" spans="2:21" x14ac:dyDescent="0.2">
      <c r="B26" s="16">
        <f t="shared" si="8"/>
        <v>9</v>
      </c>
      <c r="C26" s="9">
        <f t="shared" si="9"/>
        <v>45565</v>
      </c>
      <c r="D26" s="6">
        <f>IFERROR(IF(B26&lt;&gt;"",PPMT(المدخلات!$E$74/12,B26,$C$6,المدخلات!$E$73),"")," ")</f>
        <v>-867.07856635516555</v>
      </c>
      <c r="E26" s="6">
        <f>IFERROR(IPMT(المدخلات!$E$74/12,B26,$C$6,المدخلات!$E$73)," ")</f>
        <v>-59.266492615634746</v>
      </c>
      <c r="F26" s="6">
        <f t="shared" si="3"/>
        <v>-7311.0890094170809</v>
      </c>
      <c r="G26" s="6">
        <f t="shared" si="4"/>
        <v>-1026.0165213201226</v>
      </c>
      <c r="H26" s="6">
        <f t="shared" si="5"/>
        <v>-926.34505897080032</v>
      </c>
      <c r="I26" s="6">
        <f t="shared" si="6"/>
        <v>2688.9109905829205</v>
      </c>
      <c r="J26" s="6" t="str">
        <f>IF(B26&lt;&gt;"",IF(AND(المدخلات!$H$73="سنوي",MOD(B26,12)=0),المدخلات!$J$73,IF(AND(المدخلات!$H$73="القسط (الدفعة) الاول",B26=1),المدخلات!$J$73,IF(المدخلات!$H$73="شهري",المدخلات!$J$73,""))),"")</f>
        <v/>
      </c>
      <c r="K26" s="6" t="str">
        <f>IF(B26&lt;&gt;"",IF(AND(المدخلات!$H$74="سنوي",MOD(B26,12)=0),المدخلات!$J$74,IF(AND(المدخلات!$H$74="القسط (الدفعة) الاول",B26=1),المدخلات!$J$74,IF(المدخلات!$H$74="شهري",المدخلات!$J$74,""))),"")</f>
        <v/>
      </c>
      <c r="L26" s="6" t="str">
        <f>IF(B26&lt;&gt;"",IF(AND(المدخلات!$H$75="سنوي",MOD(B26,12)=0),المدخلات!$J$75,IF(AND(المدخلات!$H$75="القسط (الدفعة) الاول",B26=1),المدخلات!$J$75,IF(المدخلات!$H$75="شهري",المدخلات!$J$75,IF(AND(المدخلات!$H$75="End of the loan",B26=12),المدخلات!$J$75,"")))),"")</f>
        <v/>
      </c>
      <c r="M26" s="6">
        <f t="shared" si="0"/>
        <v>0</v>
      </c>
      <c r="N26" s="4">
        <f t="shared" si="1"/>
        <v>926.34505897080032</v>
      </c>
      <c r="R26" s="9">
        <f t="shared" si="2"/>
        <v>45565</v>
      </c>
      <c r="S26" s="5">
        <f t="shared" si="7"/>
        <v>926.35</v>
      </c>
      <c r="T26" s="124"/>
      <c r="U26" s="64"/>
    </row>
    <row r="27" spans="2:21" x14ac:dyDescent="0.2">
      <c r="B27" s="16">
        <f t="shared" si="8"/>
        <v>10</v>
      </c>
      <c r="C27" s="9">
        <f t="shared" si="9"/>
        <v>45595</v>
      </c>
      <c r="D27" s="6">
        <f>IFERROR(IF(B27&lt;&gt;"",PPMT(المدخلات!$E$74/12,B27,$C$6,المدخلات!$E$73),"")," ")</f>
        <v>-881.52987579441833</v>
      </c>
      <c r="E27" s="6">
        <f>IFERROR(IPMT(المدخلات!$E$74/12,B27,$C$6,المدخلات!$E$73)," ")</f>
        <v>-44.815183176381979</v>
      </c>
      <c r="F27" s="6">
        <f t="shared" si="3"/>
        <v>-8192.6188852114992</v>
      </c>
      <c r="G27" s="6">
        <f t="shared" si="4"/>
        <v>-1070.8317044965045</v>
      </c>
      <c r="H27" s="6">
        <f t="shared" si="5"/>
        <v>-926.34505897080032</v>
      </c>
      <c r="I27" s="6">
        <f t="shared" si="6"/>
        <v>1807.3811147885021</v>
      </c>
      <c r="J27" s="6" t="str">
        <f>IF(B27&lt;&gt;"",IF(AND(المدخلات!$H$73="سنوي",MOD(B27,12)=0),المدخلات!$J$73,IF(AND(المدخلات!$H$73="القسط (الدفعة) الاول",B27=1),المدخلات!$J$73,IF(المدخلات!$H$73="شهري",المدخلات!$J$73,""))),"")</f>
        <v/>
      </c>
      <c r="K27" s="6" t="str">
        <f>IF(B27&lt;&gt;"",IF(AND(المدخلات!$H$74="سنوي",MOD(B27,12)=0),المدخلات!$J$74,IF(AND(المدخلات!$H$74="القسط (الدفعة) الاول",B27=1),المدخلات!$J$74,IF(المدخلات!$H$74="شهري",المدخلات!$J$74,""))),"")</f>
        <v/>
      </c>
      <c r="L27" s="6" t="str">
        <f>IF(B27&lt;&gt;"",IF(AND(المدخلات!$H$75="سنوي",MOD(B27,12)=0),المدخلات!$J$75,IF(AND(المدخلات!$H$75="القسط (الدفعة) الاول",B27=1),المدخلات!$J$75,IF(المدخلات!$H$75="شهري",المدخلات!$J$75,IF(AND(المدخلات!$H$75="End of the loan",B27=12),المدخلات!$J$75,"")))),"")</f>
        <v/>
      </c>
      <c r="M27" s="6">
        <f t="shared" si="0"/>
        <v>0</v>
      </c>
      <c r="N27" s="4">
        <f t="shared" si="1"/>
        <v>926.34505897080032</v>
      </c>
      <c r="R27" s="9">
        <f t="shared" si="2"/>
        <v>45595</v>
      </c>
      <c r="S27" s="5">
        <f t="shared" si="7"/>
        <v>926.35</v>
      </c>
      <c r="T27" s="124"/>
      <c r="U27" s="64"/>
    </row>
    <row r="28" spans="2:21" x14ac:dyDescent="0.2">
      <c r="B28" s="16">
        <f t="shared" si="8"/>
        <v>11</v>
      </c>
      <c r="C28" s="9">
        <f t="shared" si="9"/>
        <v>45626</v>
      </c>
      <c r="D28" s="6">
        <f>IFERROR(IF(B28&lt;&gt;"",PPMT(المدخلات!$E$74/12,B28,$C$6,المدخلات!$E$73),"")," ")</f>
        <v>-896.22204039099199</v>
      </c>
      <c r="E28" s="6">
        <f>IFERROR(IPMT(المدخلات!$E$74/12,B28,$C$6,المدخلات!$E$73)," ")</f>
        <v>-30.123018579808345</v>
      </c>
      <c r="F28" s="6">
        <f t="shared" si="3"/>
        <v>-9088.8409256024916</v>
      </c>
      <c r="G28" s="6">
        <f t="shared" si="4"/>
        <v>-1100.9547230763128</v>
      </c>
      <c r="H28" s="6">
        <f t="shared" si="5"/>
        <v>-926.34505897080032</v>
      </c>
      <c r="I28" s="6">
        <f t="shared" si="6"/>
        <v>911.15907439751015</v>
      </c>
      <c r="J28" s="6" t="str">
        <f>IF(B28&lt;&gt;"",IF(AND(المدخلات!$H$73="سنوي",MOD(B28,12)=0),المدخلات!$J$73,IF(AND(المدخلات!$H$73="القسط (الدفعة) الاول",B28=1),المدخلات!$J$73,IF(المدخلات!$H$73="شهري",المدخلات!$J$73,""))),"")</f>
        <v/>
      </c>
      <c r="K28" s="6" t="str">
        <f>IF(B28&lt;&gt;"",IF(AND(المدخلات!$H$74="سنوي",MOD(B28,12)=0),المدخلات!$J$74,IF(AND(المدخلات!$H$74="القسط (الدفعة) الاول",B28=1),المدخلات!$J$74,IF(المدخلات!$H$74="شهري",المدخلات!$J$74,""))),"")</f>
        <v/>
      </c>
      <c r="L28" s="6" t="str">
        <f>IF(B28&lt;&gt;"",IF(AND(المدخلات!$H$75="سنوي",MOD(B28,12)=0),المدخلات!$J$75,IF(AND(المدخلات!$H$75="القسط (الدفعة) الاول",B28=1),المدخلات!$J$75,IF(المدخلات!$H$75="شهري",المدخلات!$J$75,IF(AND(المدخلات!$H$75="End of the loan",B28=12),المدخلات!$J$75,"")))),"")</f>
        <v/>
      </c>
      <c r="M28" s="6">
        <f t="shared" si="0"/>
        <v>0</v>
      </c>
      <c r="N28" s="4">
        <f t="shared" si="1"/>
        <v>926.34505897080032</v>
      </c>
      <c r="R28" s="9">
        <f t="shared" si="2"/>
        <v>45626</v>
      </c>
      <c r="S28" s="5">
        <f t="shared" si="7"/>
        <v>926.35</v>
      </c>
      <c r="T28" s="124"/>
      <c r="U28" s="64"/>
    </row>
    <row r="29" spans="2:21" x14ac:dyDescent="0.2">
      <c r="B29" s="16">
        <f t="shared" si="8"/>
        <v>12</v>
      </c>
      <c r="C29" s="9">
        <f t="shared" si="9"/>
        <v>45656</v>
      </c>
      <c r="D29" s="6">
        <f>IFERROR(IF(B29&lt;&gt;"",PPMT(المدخلات!$E$74/12,B29,$C$6,المدخلات!$E$73),"")," ")</f>
        <v>-911.15907439750845</v>
      </c>
      <c r="E29" s="6">
        <f>IFERROR(IPMT(المدخلات!$E$74/12,B29,$C$6,المدخلات!$E$73)," ")</f>
        <v>-15.18598457329181</v>
      </c>
      <c r="F29" s="6">
        <f t="shared" si="3"/>
        <v>-10000</v>
      </c>
      <c r="G29" s="6">
        <f t="shared" si="4"/>
        <v>-1116.1407076496046</v>
      </c>
      <c r="H29" s="6">
        <f t="shared" si="5"/>
        <v>-926.34505897080021</v>
      </c>
      <c r="I29" s="6">
        <f t="shared" si="6"/>
        <v>1.7053025658242404E-12</v>
      </c>
      <c r="J29" s="6">
        <f>IF(B29&lt;&gt;"",IF(AND(المدخلات!$H$73="سنوي",MOD(B29,12)=0),المدخلات!$J$73,IF(AND(المدخلات!$H$73="القسط (الدفعة) الاول",B29=1),المدخلات!$J$73,IF(المدخلات!$H$73="شهري",المدخلات!$J$73,""))),"")</f>
        <v>200</v>
      </c>
      <c r="K29" s="6">
        <f>IF(B29&lt;&gt;"",IF(AND(المدخلات!$H$74="سنوي",MOD(B29,12)=0),المدخلات!$J$74,IF(AND(المدخلات!$H$74="القسط (الدفعة) الاول",B29=1),المدخلات!$J$74,IF(المدخلات!$H$74="شهري",المدخلات!$J$74,""))),"")</f>
        <v>100</v>
      </c>
      <c r="L29" s="6" t="str">
        <f>IF(B29&lt;&gt;"",IF(AND(المدخلات!$H$75="سنوي",MOD(B29,12)=0),المدخلات!$J$75,IF(AND(المدخلات!$H$75="القسط (الدفعة) الاول",B29=1),المدخلات!$J$75,IF(المدخلات!$H$75="شهري",المدخلات!$J$75,IF(AND(المدخلات!$H$75="End of the loan",B29=12),المدخلات!$J$75,"")))),"")</f>
        <v/>
      </c>
      <c r="M29" s="6">
        <f t="shared" si="0"/>
        <v>300</v>
      </c>
      <c r="N29" s="4">
        <f t="shared" si="1"/>
        <v>1226.3450589708002</v>
      </c>
      <c r="R29" s="9">
        <f t="shared" si="2"/>
        <v>45656</v>
      </c>
      <c r="S29" s="5">
        <f t="shared" si="7"/>
        <v>1226.3499999999999</v>
      </c>
      <c r="T29" s="124"/>
      <c r="U29" s="64"/>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00"/>
  </sheetPr>
  <dimension ref="A1:O373"/>
  <sheetViews>
    <sheetView showGridLines="0" rightToLeft="1" topLeftCell="B1" workbookViewId="0">
      <selection activeCell="H5" sqref="H5"/>
    </sheetView>
  </sheetViews>
  <sheetFormatPr defaultRowHeight="14.4" x14ac:dyDescent="0.3"/>
  <cols>
    <col min="1" max="1" width="0" hidden="1" customWidth="1"/>
    <col min="2" max="2" width="27.109375" bestFit="1" customWidth="1"/>
    <col min="3" max="3" width="12.5546875" bestFit="1" customWidth="1"/>
    <col min="5" max="5" width="16.109375" customWidth="1"/>
    <col min="6" max="6" width="19.44140625" customWidth="1"/>
    <col min="7" max="7" width="18.109375" customWidth="1"/>
    <col min="8" max="8" width="17.44140625" customWidth="1"/>
    <col min="9" max="9" width="8.5546875" bestFit="1" customWidth="1"/>
    <col min="10" max="10" width="13.88671875" customWidth="1"/>
    <col min="11" max="11" width="5.88671875" customWidth="1"/>
  </cols>
  <sheetData>
    <row r="1" spans="1:15" ht="19.350000000000001" customHeight="1" x14ac:dyDescent="0.3">
      <c r="B1" s="228" t="s">
        <v>89</v>
      </c>
      <c r="C1" s="229"/>
      <c r="D1" s="229"/>
      <c r="E1" s="229"/>
      <c r="F1" s="229"/>
      <c r="G1" s="229"/>
      <c r="H1" s="229"/>
      <c r="I1" s="229"/>
      <c r="J1" s="229"/>
      <c r="M1" s="198">
        <f>ROW(B13)</f>
        <v>13</v>
      </c>
      <c r="N1" s="198">
        <f>M1</f>
        <v>13</v>
      </c>
    </row>
    <row r="2" spans="1:15" x14ac:dyDescent="0.3">
      <c r="B2" s="61" t="s">
        <v>50</v>
      </c>
      <c r="C2" s="1"/>
      <c r="D2" s="1"/>
      <c r="E2" s="30"/>
      <c r="F2" s="1"/>
      <c r="M2" s="198">
        <f>COLUMN(B13)</f>
        <v>2</v>
      </c>
      <c r="N2" s="198">
        <f>COLUMN(J13)</f>
        <v>10</v>
      </c>
    </row>
    <row r="3" spans="1:15" x14ac:dyDescent="0.3">
      <c r="B3" s="51"/>
      <c r="C3" s="230" t="s">
        <v>31</v>
      </c>
      <c r="D3" s="230"/>
      <c r="E3" s="230"/>
      <c r="F3" s="230"/>
      <c r="M3" s="198"/>
      <c r="N3" s="199">
        <f>COUNTIF(B13:B373,"&gt;0")-1</f>
        <v>60</v>
      </c>
    </row>
    <row r="4" spans="1:15" x14ac:dyDescent="0.3">
      <c r="B4" s="80"/>
      <c r="C4" s="230" t="s">
        <v>142</v>
      </c>
      <c r="D4" s="230"/>
      <c r="E4" s="230"/>
      <c r="F4" s="230"/>
    </row>
    <row r="5" spans="1:15" x14ac:dyDescent="0.3">
      <c r="B5" s="81"/>
      <c r="C5" s="231" t="s">
        <v>34</v>
      </c>
      <c r="D5" s="231"/>
      <c r="E5" s="231"/>
      <c r="F5" s="231"/>
    </row>
    <row r="8" spans="1:15" x14ac:dyDescent="0.3">
      <c r="B8" s="51" t="s">
        <v>23</v>
      </c>
      <c r="C8" s="154">
        <v>300000</v>
      </c>
      <c r="F8" s="51" t="s">
        <v>18</v>
      </c>
      <c r="G8" s="176">
        <f ca="1">IFERROR(XIRR(J13:INDIRECT(ADDRESS($N$1+$N$3,$N$2)),B13:INDIRECT(ADDRESS($M$1+$N$3,$M$2))),"-")</f>
        <v>9.7206085920333862E-2</v>
      </c>
    </row>
    <row r="9" spans="1:15" x14ac:dyDescent="0.3">
      <c r="B9" s="51" t="s">
        <v>32</v>
      </c>
      <c r="C9" s="155">
        <v>3000</v>
      </c>
    </row>
    <row r="10" spans="1:15" x14ac:dyDescent="0.3">
      <c r="B10" s="51" t="s">
        <v>143</v>
      </c>
      <c r="C10" s="156">
        <v>45292</v>
      </c>
      <c r="G10" s="87"/>
    </row>
    <row r="12" spans="1:15" s="159" customFormat="1" ht="27.6" customHeight="1" x14ac:dyDescent="0.3">
      <c r="B12" s="160" t="s">
        <v>33</v>
      </c>
      <c r="C12" s="160" t="s">
        <v>78</v>
      </c>
      <c r="D12" s="160" t="s">
        <v>128</v>
      </c>
      <c r="E12" s="160" t="s">
        <v>9</v>
      </c>
      <c r="F12" s="160" t="s">
        <v>10</v>
      </c>
      <c r="G12" s="160" t="s">
        <v>29</v>
      </c>
      <c r="H12" s="160" t="s">
        <v>30</v>
      </c>
      <c r="I12" s="160" t="s">
        <v>8</v>
      </c>
      <c r="J12" s="160" t="s">
        <v>27</v>
      </c>
    </row>
    <row r="13" spans="1:15" x14ac:dyDescent="0.3">
      <c r="B13" s="172">
        <f>C10</f>
        <v>45292</v>
      </c>
      <c r="C13" s="173"/>
      <c r="D13" s="173"/>
      <c r="E13" s="173"/>
      <c r="F13" s="173"/>
      <c r="G13" s="173"/>
      <c r="H13" s="173"/>
      <c r="I13" s="173">
        <f>+C9</f>
        <v>3000</v>
      </c>
      <c r="J13" s="175">
        <f>-C8+IF(B13&lt;&gt;"",SUM(C13:I13),"")</f>
        <v>-297000</v>
      </c>
      <c r="K13" s="129"/>
      <c r="L13" s="129"/>
      <c r="M13" s="129"/>
      <c r="N13" s="129"/>
    </row>
    <row r="14" spans="1:15" ht="14.4" customHeight="1" x14ac:dyDescent="0.3">
      <c r="A14">
        <v>1</v>
      </c>
      <c r="B14" s="174">
        <v>45316</v>
      </c>
      <c r="C14" s="154">
        <v>3657.4165516832722</v>
      </c>
      <c r="D14" s="154">
        <v>1300</v>
      </c>
      <c r="E14" s="154" t="s">
        <v>141</v>
      </c>
      <c r="F14" s="154" t="s">
        <v>141</v>
      </c>
      <c r="G14" s="154">
        <v>920</v>
      </c>
      <c r="H14" s="154">
        <v>0</v>
      </c>
      <c r="I14" s="154"/>
      <c r="J14" s="175">
        <f>IF(B14&lt;&gt;"",SUM(C14:I14),"")</f>
        <v>5877.4165516832727</v>
      </c>
      <c r="L14" s="219" t="s">
        <v>90</v>
      </c>
      <c r="M14" s="220"/>
      <c r="N14" s="220"/>
      <c r="O14" s="221"/>
    </row>
    <row r="15" spans="1:15" x14ac:dyDescent="0.3">
      <c r="A15">
        <v>2</v>
      </c>
      <c r="B15" s="174">
        <v>45347</v>
      </c>
      <c r="C15" s="154">
        <v>3673.2653567405659</v>
      </c>
      <c r="D15" s="154">
        <v>1284.1511949427056</v>
      </c>
      <c r="E15" s="154" t="s">
        <v>141</v>
      </c>
      <c r="F15" s="154" t="s">
        <v>141</v>
      </c>
      <c r="G15" s="154">
        <v>920</v>
      </c>
      <c r="H15" s="154">
        <v>0</v>
      </c>
      <c r="I15" s="154"/>
      <c r="J15" s="175">
        <f t="shared" ref="J15:J78" si="0">IF(B15&lt;&gt;"",SUM(C15:I15),"")</f>
        <v>5877.4165516832718</v>
      </c>
      <c r="L15" s="222"/>
      <c r="M15" s="223"/>
      <c r="N15" s="223"/>
      <c r="O15" s="224"/>
    </row>
    <row r="16" spans="1:15" x14ac:dyDescent="0.3">
      <c r="A16">
        <v>3</v>
      </c>
      <c r="B16" s="174">
        <v>45376</v>
      </c>
      <c r="C16" s="154">
        <v>3689.1828399531087</v>
      </c>
      <c r="D16" s="154">
        <v>1268.2337117301633</v>
      </c>
      <c r="E16" s="154" t="s">
        <v>141</v>
      </c>
      <c r="F16" s="154"/>
      <c r="G16" s="154">
        <v>920</v>
      </c>
      <c r="H16" s="154">
        <v>0</v>
      </c>
      <c r="I16" s="154"/>
      <c r="J16" s="175">
        <f t="shared" si="0"/>
        <v>5877.4165516832718</v>
      </c>
      <c r="L16" s="222"/>
      <c r="M16" s="223"/>
      <c r="N16" s="223"/>
      <c r="O16" s="224"/>
    </row>
    <row r="17" spans="1:15" x14ac:dyDescent="0.3">
      <c r="A17">
        <v>4</v>
      </c>
      <c r="B17" s="174">
        <v>45407</v>
      </c>
      <c r="C17" s="154">
        <v>3705.1692989262383</v>
      </c>
      <c r="D17" s="154">
        <v>1252.247252757033</v>
      </c>
      <c r="E17" s="154" t="s">
        <v>141</v>
      </c>
      <c r="F17" s="154" t="s">
        <v>141</v>
      </c>
      <c r="G17" s="154">
        <v>920</v>
      </c>
      <c r="H17" s="154">
        <v>0</v>
      </c>
      <c r="I17" s="154"/>
      <c r="J17" s="175">
        <f t="shared" si="0"/>
        <v>5877.4165516832709</v>
      </c>
      <c r="L17" s="222"/>
      <c r="M17" s="223"/>
      <c r="N17" s="223"/>
      <c r="O17" s="224"/>
    </row>
    <row r="18" spans="1:15" x14ac:dyDescent="0.3">
      <c r="A18">
        <v>5</v>
      </c>
      <c r="B18" s="174">
        <v>45437</v>
      </c>
      <c r="C18" s="154">
        <v>3721.2250325549194</v>
      </c>
      <c r="D18" s="154">
        <v>1236.1915191283524</v>
      </c>
      <c r="E18" s="154" t="s">
        <v>141</v>
      </c>
      <c r="F18" s="154" t="s">
        <v>141</v>
      </c>
      <c r="G18" s="154">
        <v>920</v>
      </c>
      <c r="H18" s="154">
        <v>0</v>
      </c>
      <c r="I18" s="154"/>
      <c r="J18" s="175">
        <f t="shared" si="0"/>
        <v>5877.4165516832718</v>
      </c>
      <c r="L18" s="225"/>
      <c r="M18" s="226"/>
      <c r="N18" s="226"/>
      <c r="O18" s="227"/>
    </row>
    <row r="19" spans="1:15" x14ac:dyDescent="0.3">
      <c r="A19">
        <v>6</v>
      </c>
      <c r="B19" s="174">
        <v>45468</v>
      </c>
      <c r="C19" s="154">
        <v>3737.3503410293233</v>
      </c>
      <c r="D19" s="154">
        <v>1220.066210653948</v>
      </c>
      <c r="E19" s="154" t="s">
        <v>141</v>
      </c>
      <c r="F19" s="154" t="s">
        <v>141</v>
      </c>
      <c r="G19" s="154">
        <v>920</v>
      </c>
      <c r="H19" s="154">
        <v>0</v>
      </c>
      <c r="I19" s="154"/>
      <c r="J19" s="175">
        <f t="shared" si="0"/>
        <v>5877.4165516832709</v>
      </c>
      <c r="K19" s="129"/>
      <c r="L19" s="129"/>
      <c r="M19" s="129"/>
      <c r="N19" s="129"/>
    </row>
    <row r="20" spans="1:15" x14ac:dyDescent="0.3">
      <c r="A20">
        <v>7</v>
      </c>
      <c r="B20" s="174">
        <v>45498</v>
      </c>
      <c r="C20" s="154">
        <v>3753.5455258404513</v>
      </c>
      <c r="D20" s="154">
        <v>1203.8710258428212</v>
      </c>
      <c r="E20" s="154" t="s">
        <v>141</v>
      </c>
      <c r="F20" s="154" t="s">
        <v>141</v>
      </c>
      <c r="G20" s="154">
        <v>920</v>
      </c>
      <c r="H20" s="154">
        <v>0</v>
      </c>
      <c r="I20" s="154"/>
      <c r="J20" s="175">
        <f t="shared" si="0"/>
        <v>5877.4165516832727</v>
      </c>
    </row>
    <row r="21" spans="1:15" x14ac:dyDescent="0.3">
      <c r="A21">
        <v>8</v>
      </c>
      <c r="B21" s="174">
        <v>45529</v>
      </c>
      <c r="C21" s="154">
        <v>3769.8108897857596</v>
      </c>
      <c r="D21" s="154">
        <v>1187.6056618975124</v>
      </c>
      <c r="E21" s="154" t="s">
        <v>141</v>
      </c>
      <c r="F21" s="154" t="s">
        <v>141</v>
      </c>
      <c r="G21" s="154">
        <v>920</v>
      </c>
      <c r="H21" s="154">
        <v>0</v>
      </c>
      <c r="I21" s="154"/>
      <c r="J21" s="175">
        <f t="shared" si="0"/>
        <v>5877.4165516832718</v>
      </c>
    </row>
    <row r="22" spans="1:15" x14ac:dyDescent="0.3">
      <c r="A22">
        <v>9</v>
      </c>
      <c r="B22" s="174">
        <v>45560</v>
      </c>
      <c r="C22" s="154">
        <v>3786.1467369748311</v>
      </c>
      <c r="D22" s="154">
        <v>1171.2698147084407</v>
      </c>
      <c r="E22" s="154" t="s">
        <v>141</v>
      </c>
      <c r="F22" s="154" t="s">
        <v>141</v>
      </c>
      <c r="G22" s="154">
        <v>920</v>
      </c>
      <c r="H22" s="154">
        <v>0</v>
      </c>
      <c r="I22" s="154"/>
      <c r="J22" s="175">
        <f t="shared" si="0"/>
        <v>5877.4165516832718</v>
      </c>
    </row>
    <row r="23" spans="1:15" x14ac:dyDescent="0.3">
      <c r="A23">
        <v>10</v>
      </c>
      <c r="B23" s="174">
        <v>45590</v>
      </c>
      <c r="C23" s="154">
        <v>3802.5533728350551</v>
      </c>
      <c r="D23" s="154">
        <v>1154.8631788482164</v>
      </c>
      <c r="E23" s="154" t="s">
        <v>141</v>
      </c>
      <c r="F23" s="154" t="s">
        <v>141</v>
      </c>
      <c r="G23" s="154">
        <v>920</v>
      </c>
      <c r="H23" s="154">
        <v>0</v>
      </c>
      <c r="I23" s="154"/>
      <c r="J23" s="175">
        <f t="shared" si="0"/>
        <v>5877.4165516832718</v>
      </c>
    </row>
    <row r="24" spans="1:15" x14ac:dyDescent="0.3">
      <c r="A24">
        <v>11</v>
      </c>
      <c r="B24" s="174">
        <v>45621</v>
      </c>
      <c r="C24" s="154">
        <v>3819.0311041173409</v>
      </c>
      <c r="D24" s="154">
        <v>1138.3854475659314</v>
      </c>
      <c r="E24" s="154" t="s">
        <v>141</v>
      </c>
      <c r="F24" s="154" t="s">
        <v>141</v>
      </c>
      <c r="G24" s="154">
        <v>920</v>
      </c>
      <c r="H24" s="154">
        <v>0</v>
      </c>
      <c r="I24" s="154"/>
      <c r="J24" s="175">
        <f t="shared" si="0"/>
        <v>5877.4165516832727</v>
      </c>
    </row>
    <row r="25" spans="1:15" x14ac:dyDescent="0.3">
      <c r="A25">
        <v>12</v>
      </c>
      <c r="B25" s="174">
        <v>45651</v>
      </c>
      <c r="C25" s="154">
        <v>3835.5802389018486</v>
      </c>
      <c r="D25" s="154">
        <v>1121.8363127814227</v>
      </c>
      <c r="E25" s="154" t="s">
        <v>141</v>
      </c>
      <c r="F25" s="154">
        <v>0</v>
      </c>
      <c r="G25" s="154">
        <v>920</v>
      </c>
      <c r="H25" s="154">
        <v>0</v>
      </c>
      <c r="I25" s="154"/>
      <c r="J25" s="175">
        <f t="shared" si="0"/>
        <v>5877.4165516832709</v>
      </c>
    </row>
    <row r="26" spans="1:15" x14ac:dyDescent="0.3">
      <c r="A26">
        <v>13</v>
      </c>
      <c r="B26" s="174">
        <v>45682</v>
      </c>
      <c r="C26" s="154">
        <v>3852.2010866037567</v>
      </c>
      <c r="D26" s="154">
        <v>1105.2154650795146</v>
      </c>
      <c r="E26" s="154" t="s">
        <v>141</v>
      </c>
      <c r="F26" s="154" t="s">
        <v>141</v>
      </c>
      <c r="G26" s="154">
        <v>736</v>
      </c>
      <c r="H26" s="154">
        <v>0</v>
      </c>
      <c r="I26" s="154"/>
      <c r="J26" s="175">
        <f t="shared" si="0"/>
        <v>5693.4165516832709</v>
      </c>
    </row>
    <row r="27" spans="1:15" x14ac:dyDescent="0.3">
      <c r="A27">
        <v>14</v>
      </c>
      <c r="B27" s="174">
        <v>45713</v>
      </c>
      <c r="C27" s="154">
        <v>3868.8939579790399</v>
      </c>
      <c r="D27" s="154">
        <v>1088.5225937042317</v>
      </c>
      <c r="E27" s="154" t="s">
        <v>141</v>
      </c>
      <c r="F27" s="154" t="s">
        <v>141</v>
      </c>
      <c r="G27" s="154">
        <v>736</v>
      </c>
      <c r="H27" s="154">
        <v>0</v>
      </c>
      <c r="I27" s="154"/>
      <c r="J27" s="175">
        <f t="shared" si="0"/>
        <v>5693.4165516832718</v>
      </c>
    </row>
    <row r="28" spans="1:15" x14ac:dyDescent="0.3">
      <c r="A28">
        <v>15</v>
      </c>
      <c r="B28" s="174">
        <v>45741</v>
      </c>
      <c r="C28" s="154">
        <v>3885.6591651302824</v>
      </c>
      <c r="D28" s="154">
        <v>1071.7573865529894</v>
      </c>
      <c r="E28" s="154" t="s">
        <v>141</v>
      </c>
      <c r="F28" s="154" t="s">
        <v>141</v>
      </c>
      <c r="G28" s="154">
        <v>736</v>
      </c>
      <c r="H28" s="154">
        <v>0</v>
      </c>
      <c r="I28" s="154"/>
      <c r="J28" s="175">
        <f t="shared" si="0"/>
        <v>5693.4165516832718</v>
      </c>
    </row>
    <row r="29" spans="1:15" x14ac:dyDescent="0.3">
      <c r="A29">
        <v>16</v>
      </c>
      <c r="B29" s="174">
        <v>45772</v>
      </c>
      <c r="C29" s="154">
        <v>3902.4970215125136</v>
      </c>
      <c r="D29" s="154">
        <v>1054.919530170758</v>
      </c>
      <c r="E29" s="154" t="s">
        <v>141</v>
      </c>
      <c r="F29" s="154" t="s">
        <v>141</v>
      </c>
      <c r="G29" s="154">
        <v>736</v>
      </c>
      <c r="H29" s="154">
        <v>0</v>
      </c>
      <c r="I29" s="154"/>
      <c r="J29" s="175">
        <f t="shared" si="0"/>
        <v>5693.4165516832718</v>
      </c>
    </row>
    <row r="30" spans="1:15" x14ac:dyDescent="0.3">
      <c r="A30">
        <v>17</v>
      </c>
      <c r="B30" s="174">
        <v>45802</v>
      </c>
      <c r="C30" s="154">
        <v>3919.4078419390676</v>
      </c>
      <c r="D30" s="154">
        <v>1038.008709744204</v>
      </c>
      <c r="E30" s="154" t="s">
        <v>141</v>
      </c>
      <c r="F30" s="154" t="s">
        <v>141</v>
      </c>
      <c r="G30" s="154">
        <v>736</v>
      </c>
      <c r="H30" s="154">
        <v>0</v>
      </c>
      <c r="I30" s="154"/>
      <c r="J30" s="175">
        <f t="shared" si="0"/>
        <v>5693.4165516832718</v>
      </c>
    </row>
    <row r="31" spans="1:15" x14ac:dyDescent="0.3">
      <c r="A31">
        <v>18</v>
      </c>
      <c r="B31" s="174">
        <v>45833</v>
      </c>
      <c r="C31" s="154">
        <v>3936.3919425874706</v>
      </c>
      <c r="D31" s="154">
        <v>1021.0246090958011</v>
      </c>
      <c r="E31" s="154" t="s">
        <v>141</v>
      </c>
      <c r="F31" s="154" t="s">
        <v>141</v>
      </c>
      <c r="G31" s="154">
        <v>736</v>
      </c>
      <c r="H31" s="154">
        <v>0</v>
      </c>
      <c r="I31" s="154"/>
      <c r="J31" s="175">
        <f t="shared" si="0"/>
        <v>5693.4165516832718</v>
      </c>
    </row>
    <row r="32" spans="1:15" x14ac:dyDescent="0.3">
      <c r="A32">
        <v>19</v>
      </c>
      <c r="B32" s="174">
        <v>45863</v>
      </c>
      <c r="C32" s="154">
        <v>3953.4496410053498</v>
      </c>
      <c r="D32" s="154">
        <v>1003.9669106779222</v>
      </c>
      <c r="E32" s="154" t="s">
        <v>141</v>
      </c>
      <c r="F32" s="154" t="s">
        <v>141</v>
      </c>
      <c r="G32" s="154">
        <v>736</v>
      </c>
      <c r="H32" s="154">
        <v>0</v>
      </c>
      <c r="I32" s="154"/>
      <c r="J32" s="175">
        <f t="shared" si="0"/>
        <v>5693.4165516832718</v>
      </c>
    </row>
    <row r="33" spans="1:10" x14ac:dyDescent="0.3">
      <c r="A33">
        <v>20</v>
      </c>
      <c r="B33" s="174">
        <v>45894</v>
      </c>
      <c r="C33" s="154">
        <v>3970.581256116373</v>
      </c>
      <c r="D33" s="154">
        <v>986.83529556689905</v>
      </c>
      <c r="E33" s="154" t="s">
        <v>141</v>
      </c>
      <c r="F33" s="154" t="s">
        <v>141</v>
      </c>
      <c r="G33" s="154">
        <v>736</v>
      </c>
      <c r="H33" s="154">
        <v>0</v>
      </c>
      <c r="I33" s="154"/>
      <c r="J33" s="175">
        <f t="shared" si="0"/>
        <v>5693.4165516832718</v>
      </c>
    </row>
    <row r="34" spans="1:10" x14ac:dyDescent="0.3">
      <c r="A34">
        <v>21</v>
      </c>
      <c r="B34" s="174">
        <v>45925</v>
      </c>
      <c r="C34" s="154">
        <v>3987.7871082262104</v>
      </c>
      <c r="D34" s="154">
        <v>969.62944345706126</v>
      </c>
      <c r="E34" s="154" t="s">
        <v>141</v>
      </c>
      <c r="F34" s="154" t="s">
        <v>141</v>
      </c>
      <c r="G34" s="154">
        <v>736</v>
      </c>
      <c r="H34" s="154">
        <v>0</v>
      </c>
      <c r="I34" s="154"/>
      <c r="J34" s="175">
        <f t="shared" si="0"/>
        <v>5693.4165516832718</v>
      </c>
    </row>
    <row r="35" spans="1:10" x14ac:dyDescent="0.3">
      <c r="A35">
        <v>22</v>
      </c>
      <c r="B35" s="174">
        <v>45955</v>
      </c>
      <c r="C35" s="154">
        <v>4005.0675190285242</v>
      </c>
      <c r="D35" s="154">
        <v>952.3490326547477</v>
      </c>
      <c r="E35" s="154" t="s">
        <v>141</v>
      </c>
      <c r="F35" s="154" t="s">
        <v>141</v>
      </c>
      <c r="G35" s="154">
        <v>736</v>
      </c>
      <c r="H35" s="154">
        <v>0</v>
      </c>
      <c r="I35" s="154"/>
      <c r="J35" s="175">
        <f t="shared" si="0"/>
        <v>5693.4165516832718</v>
      </c>
    </row>
    <row r="36" spans="1:10" x14ac:dyDescent="0.3">
      <c r="A36">
        <v>23</v>
      </c>
      <c r="B36" s="174">
        <v>45986</v>
      </c>
      <c r="C36" s="154">
        <v>4022.4228116109807</v>
      </c>
      <c r="D36" s="154">
        <v>934.99374007229085</v>
      </c>
      <c r="E36" s="154" t="s">
        <v>141</v>
      </c>
      <c r="F36" s="154" t="s">
        <v>141</v>
      </c>
      <c r="G36" s="154">
        <v>736</v>
      </c>
      <c r="H36" s="154">
        <v>0</v>
      </c>
      <c r="I36" s="154"/>
      <c r="J36" s="175">
        <f t="shared" si="0"/>
        <v>5693.4165516832718</v>
      </c>
    </row>
    <row r="37" spans="1:10" x14ac:dyDescent="0.3">
      <c r="A37">
        <v>24</v>
      </c>
      <c r="B37" s="174">
        <v>46016</v>
      </c>
      <c r="C37" s="154">
        <v>4039.8533104612948</v>
      </c>
      <c r="D37" s="154">
        <v>917.56324122197657</v>
      </c>
      <c r="E37" s="154" t="s">
        <v>141</v>
      </c>
      <c r="F37" s="154">
        <v>0</v>
      </c>
      <c r="G37" s="154">
        <v>736</v>
      </c>
      <c r="H37" s="154">
        <v>0</v>
      </c>
      <c r="I37" s="154"/>
      <c r="J37" s="175">
        <f t="shared" si="0"/>
        <v>5693.4165516832709</v>
      </c>
    </row>
    <row r="38" spans="1:10" x14ac:dyDescent="0.3">
      <c r="A38">
        <v>25</v>
      </c>
      <c r="B38" s="174">
        <v>46047</v>
      </c>
      <c r="C38" s="154">
        <v>4057.3593414732941</v>
      </c>
      <c r="D38" s="154">
        <v>900.05721020997771</v>
      </c>
      <c r="E38" s="154" t="s">
        <v>141</v>
      </c>
      <c r="F38" s="154" t="s">
        <v>141</v>
      </c>
      <c r="G38" s="154">
        <v>551.99999999999989</v>
      </c>
      <c r="H38" s="154">
        <v>0</v>
      </c>
      <c r="I38" s="154"/>
      <c r="J38" s="175">
        <f t="shared" si="0"/>
        <v>5509.4165516832718</v>
      </c>
    </row>
    <row r="39" spans="1:10" x14ac:dyDescent="0.3">
      <c r="A39">
        <v>26</v>
      </c>
      <c r="B39" s="174">
        <v>46078</v>
      </c>
      <c r="C39" s="154">
        <v>4074.941231953012</v>
      </c>
      <c r="D39" s="154">
        <v>882.47531973026003</v>
      </c>
      <c r="E39" s="154" t="s">
        <v>141</v>
      </c>
      <c r="F39" s="154" t="s">
        <v>141</v>
      </c>
      <c r="G39" s="154">
        <v>551.99999999999989</v>
      </c>
      <c r="H39" s="154">
        <v>0</v>
      </c>
      <c r="I39" s="154"/>
      <c r="J39" s="175">
        <f t="shared" si="0"/>
        <v>5509.4165516832718</v>
      </c>
    </row>
    <row r="40" spans="1:10" x14ac:dyDescent="0.3">
      <c r="A40">
        <v>27</v>
      </c>
      <c r="B40" s="174">
        <v>46106</v>
      </c>
      <c r="C40" s="154">
        <v>4092.5993106248084</v>
      </c>
      <c r="D40" s="154">
        <v>864.81724105846365</v>
      </c>
      <c r="E40" s="154" t="s">
        <v>141</v>
      </c>
      <c r="F40" s="154" t="s">
        <v>141</v>
      </c>
      <c r="G40" s="154">
        <v>551.99999999999989</v>
      </c>
      <c r="H40" s="154">
        <v>0</v>
      </c>
      <c r="I40" s="154"/>
      <c r="J40" s="175">
        <f t="shared" si="0"/>
        <v>5509.4165516832718</v>
      </c>
    </row>
    <row r="41" spans="1:10" x14ac:dyDescent="0.3">
      <c r="A41">
        <v>28</v>
      </c>
      <c r="B41" s="174">
        <v>46137</v>
      </c>
      <c r="C41" s="154">
        <v>4110.333907637515</v>
      </c>
      <c r="D41" s="154">
        <v>847.08264404575607</v>
      </c>
      <c r="E41" s="154" t="s">
        <v>141</v>
      </c>
      <c r="F41" s="154" t="s">
        <v>141</v>
      </c>
      <c r="G41" s="154">
        <v>551.99999999999989</v>
      </c>
      <c r="H41" s="154">
        <v>0</v>
      </c>
      <c r="I41" s="154"/>
      <c r="J41" s="175">
        <f t="shared" si="0"/>
        <v>5509.4165516832709</v>
      </c>
    </row>
    <row r="42" spans="1:10" x14ac:dyDescent="0.3">
      <c r="A42">
        <v>29</v>
      </c>
      <c r="B42" s="174">
        <v>46167</v>
      </c>
      <c r="C42" s="154">
        <v>4128.1453545706117</v>
      </c>
      <c r="D42" s="154">
        <v>829.27119711266027</v>
      </c>
      <c r="E42" s="154" t="s">
        <v>141</v>
      </c>
      <c r="F42" s="154" t="s">
        <v>141</v>
      </c>
      <c r="G42" s="154">
        <v>551.99999999999989</v>
      </c>
      <c r="H42" s="154">
        <v>0</v>
      </c>
      <c r="I42" s="154"/>
      <c r="J42" s="175">
        <f t="shared" si="0"/>
        <v>5509.4165516832718</v>
      </c>
    </row>
    <row r="43" spans="1:10" x14ac:dyDescent="0.3">
      <c r="A43">
        <v>30</v>
      </c>
      <c r="B43" s="174">
        <v>46198</v>
      </c>
      <c r="C43" s="154">
        <v>4146.033984440417</v>
      </c>
      <c r="D43" s="154">
        <v>811.38256724285429</v>
      </c>
      <c r="E43" s="154" t="s">
        <v>141</v>
      </c>
      <c r="F43" s="154" t="s">
        <v>141</v>
      </c>
      <c r="G43" s="154">
        <v>551.99999999999989</v>
      </c>
      <c r="H43" s="154">
        <v>0</v>
      </c>
      <c r="I43" s="154"/>
      <c r="J43" s="175">
        <f t="shared" si="0"/>
        <v>5509.4165516832709</v>
      </c>
    </row>
    <row r="44" spans="1:10" x14ac:dyDescent="0.3">
      <c r="A44">
        <v>31</v>
      </c>
      <c r="B44" s="174">
        <v>46228</v>
      </c>
      <c r="C44" s="154">
        <v>4164.0001317063261</v>
      </c>
      <c r="D44" s="154">
        <v>793.41641997694569</v>
      </c>
      <c r="E44" s="154" t="s">
        <v>141</v>
      </c>
      <c r="F44" s="154" t="s">
        <v>141</v>
      </c>
      <c r="G44" s="154">
        <v>551.99999999999989</v>
      </c>
      <c r="H44" s="154">
        <v>0</v>
      </c>
      <c r="I44" s="154"/>
      <c r="J44" s="175">
        <f t="shared" si="0"/>
        <v>5509.4165516832718</v>
      </c>
    </row>
    <row r="45" spans="1:10" x14ac:dyDescent="0.3">
      <c r="A45">
        <v>32</v>
      </c>
      <c r="B45" s="174">
        <v>46259</v>
      </c>
      <c r="C45" s="154">
        <v>4182.044132277053</v>
      </c>
      <c r="D45" s="154">
        <v>775.37241940621846</v>
      </c>
      <c r="E45" s="154" t="s">
        <v>141</v>
      </c>
      <c r="F45" s="154" t="s">
        <v>141</v>
      </c>
      <c r="G45" s="154">
        <v>551.99999999999989</v>
      </c>
      <c r="H45" s="154">
        <v>0</v>
      </c>
      <c r="I45" s="154"/>
      <c r="J45" s="175">
        <f t="shared" si="0"/>
        <v>5509.4165516832718</v>
      </c>
    </row>
    <row r="46" spans="1:10" x14ac:dyDescent="0.3">
      <c r="A46">
        <v>33</v>
      </c>
      <c r="B46" s="174">
        <v>46290</v>
      </c>
      <c r="C46" s="154">
        <v>4200.1663235169208</v>
      </c>
      <c r="D46" s="154">
        <v>757.25022816635112</v>
      </c>
      <c r="E46" s="154" t="s">
        <v>141</v>
      </c>
      <c r="F46" s="154" t="s">
        <v>141</v>
      </c>
      <c r="G46" s="154">
        <v>551.99999999999989</v>
      </c>
      <c r="H46" s="154">
        <v>0</v>
      </c>
      <c r="I46" s="154"/>
      <c r="J46" s="175">
        <f t="shared" si="0"/>
        <v>5509.4165516832718</v>
      </c>
    </row>
    <row r="47" spans="1:10" x14ac:dyDescent="0.3">
      <c r="A47">
        <v>34</v>
      </c>
      <c r="B47" s="174">
        <v>46320</v>
      </c>
      <c r="C47" s="154">
        <v>4218.3670442521607</v>
      </c>
      <c r="D47" s="154">
        <v>739.04950743111112</v>
      </c>
      <c r="E47" s="154" t="s">
        <v>141</v>
      </c>
      <c r="F47" s="154" t="s">
        <v>141</v>
      </c>
      <c r="G47" s="154">
        <v>551.99999999999989</v>
      </c>
      <c r="H47" s="154">
        <v>0</v>
      </c>
      <c r="I47" s="154"/>
      <c r="J47" s="175">
        <f t="shared" si="0"/>
        <v>5509.4165516832718</v>
      </c>
    </row>
    <row r="48" spans="1:10" x14ac:dyDescent="0.3">
      <c r="A48">
        <v>35</v>
      </c>
      <c r="B48" s="174">
        <v>46351</v>
      </c>
      <c r="C48" s="154">
        <v>4236.646634777253</v>
      </c>
      <c r="D48" s="154">
        <v>720.76991690601847</v>
      </c>
      <c r="E48" s="154" t="s">
        <v>141</v>
      </c>
      <c r="F48" s="154" t="s">
        <v>141</v>
      </c>
      <c r="G48" s="154">
        <v>551.99999999999989</v>
      </c>
      <c r="H48" s="154">
        <v>0</v>
      </c>
      <c r="I48" s="154"/>
      <c r="J48" s="175">
        <f t="shared" si="0"/>
        <v>5509.4165516832718</v>
      </c>
    </row>
    <row r="49" spans="1:10" x14ac:dyDescent="0.3">
      <c r="A49">
        <v>36</v>
      </c>
      <c r="B49" s="174">
        <v>46381</v>
      </c>
      <c r="C49" s="154">
        <v>4255.0054368612882</v>
      </c>
      <c r="D49" s="154">
        <v>702.41111482198369</v>
      </c>
      <c r="E49" s="154" t="s">
        <v>141</v>
      </c>
      <c r="F49" s="154">
        <v>0</v>
      </c>
      <c r="G49" s="154">
        <v>551.99999999999989</v>
      </c>
      <c r="H49" s="154">
        <v>0</v>
      </c>
      <c r="I49" s="154"/>
      <c r="J49" s="175">
        <f t="shared" si="0"/>
        <v>5509.4165516832718</v>
      </c>
    </row>
    <row r="50" spans="1:10" x14ac:dyDescent="0.3">
      <c r="A50">
        <v>37</v>
      </c>
      <c r="B50" s="174">
        <v>46412</v>
      </c>
      <c r="C50" s="154">
        <v>4273.4437937543535</v>
      </c>
      <c r="D50" s="154">
        <v>683.9727579289181</v>
      </c>
      <c r="E50" s="154" t="s">
        <v>141</v>
      </c>
      <c r="F50" s="154" t="s">
        <v>141</v>
      </c>
      <c r="G50" s="154">
        <v>368</v>
      </c>
      <c r="H50" s="154">
        <v>0</v>
      </c>
      <c r="I50" s="154"/>
      <c r="J50" s="175">
        <f t="shared" si="0"/>
        <v>5325.4165516832718</v>
      </c>
    </row>
    <row r="51" spans="1:10" x14ac:dyDescent="0.3">
      <c r="A51">
        <v>38</v>
      </c>
      <c r="B51" s="174">
        <v>46443</v>
      </c>
      <c r="C51" s="154">
        <v>4291.9620501939562</v>
      </c>
      <c r="D51" s="154">
        <v>665.45450148931582</v>
      </c>
      <c r="E51" s="154" t="s">
        <v>141</v>
      </c>
      <c r="F51" s="154" t="s">
        <v>141</v>
      </c>
      <c r="G51" s="154">
        <v>368</v>
      </c>
      <c r="H51" s="154">
        <v>0</v>
      </c>
      <c r="I51" s="154"/>
      <c r="J51" s="175">
        <f t="shared" si="0"/>
        <v>5325.4165516832718</v>
      </c>
    </row>
    <row r="52" spans="1:10" x14ac:dyDescent="0.3">
      <c r="A52">
        <v>39</v>
      </c>
      <c r="B52" s="174">
        <v>46471</v>
      </c>
      <c r="C52" s="154">
        <v>4310.5605524114635</v>
      </c>
      <c r="D52" s="154">
        <v>646.85599927180874</v>
      </c>
      <c r="E52" s="154" t="s">
        <v>141</v>
      </c>
      <c r="F52" s="154" t="s">
        <v>141</v>
      </c>
      <c r="G52" s="154">
        <v>368</v>
      </c>
      <c r="H52" s="154">
        <v>0</v>
      </c>
      <c r="I52" s="154"/>
      <c r="J52" s="175">
        <f t="shared" si="0"/>
        <v>5325.4165516832727</v>
      </c>
    </row>
    <row r="53" spans="1:10" x14ac:dyDescent="0.3">
      <c r="A53">
        <v>40</v>
      </c>
      <c r="B53" s="174">
        <v>46502</v>
      </c>
      <c r="C53" s="154">
        <v>4329.2396481385795</v>
      </c>
      <c r="D53" s="154">
        <v>628.17690354469244</v>
      </c>
      <c r="E53" s="154" t="s">
        <v>141</v>
      </c>
      <c r="F53" s="154" t="s">
        <v>141</v>
      </c>
      <c r="G53" s="154">
        <v>368</v>
      </c>
      <c r="H53" s="154">
        <v>0</v>
      </c>
      <c r="I53" s="154"/>
      <c r="J53" s="175">
        <f t="shared" si="0"/>
        <v>5325.4165516832718</v>
      </c>
    </row>
    <row r="54" spans="1:10" x14ac:dyDescent="0.3">
      <c r="A54">
        <v>41</v>
      </c>
      <c r="B54" s="174">
        <v>46532</v>
      </c>
      <c r="C54" s="154">
        <v>4347.9996866138463</v>
      </c>
      <c r="D54" s="154">
        <v>609.41686506942528</v>
      </c>
      <c r="E54" s="154" t="s">
        <v>141</v>
      </c>
      <c r="F54" s="154" t="s">
        <v>141</v>
      </c>
      <c r="G54" s="154">
        <v>368</v>
      </c>
      <c r="H54" s="154">
        <v>0</v>
      </c>
      <c r="I54" s="154"/>
      <c r="J54" s="175">
        <f t="shared" si="0"/>
        <v>5325.4165516832718</v>
      </c>
    </row>
    <row r="55" spans="1:10" x14ac:dyDescent="0.3">
      <c r="A55">
        <v>42</v>
      </c>
      <c r="B55" s="174">
        <v>46563</v>
      </c>
      <c r="C55" s="154">
        <v>4366.8410185891726</v>
      </c>
      <c r="D55" s="154">
        <v>590.57553309409855</v>
      </c>
      <c r="E55" s="154" t="s">
        <v>141</v>
      </c>
      <c r="F55" s="154" t="s">
        <v>141</v>
      </c>
      <c r="G55" s="154">
        <v>368</v>
      </c>
      <c r="H55" s="154">
        <v>0</v>
      </c>
      <c r="I55" s="154"/>
      <c r="J55" s="175">
        <f t="shared" si="0"/>
        <v>5325.4165516832709</v>
      </c>
    </row>
    <row r="56" spans="1:10" x14ac:dyDescent="0.3">
      <c r="A56">
        <v>43</v>
      </c>
      <c r="B56" s="174">
        <v>46593</v>
      </c>
      <c r="C56" s="154">
        <v>4385.7639963363927</v>
      </c>
      <c r="D56" s="154">
        <v>571.6525553468789</v>
      </c>
      <c r="E56" s="154" t="s">
        <v>141</v>
      </c>
      <c r="F56" s="154" t="s">
        <v>141</v>
      </c>
      <c r="G56" s="154">
        <v>368</v>
      </c>
      <c r="H56" s="154">
        <v>0</v>
      </c>
      <c r="I56" s="154"/>
      <c r="J56" s="175">
        <f t="shared" si="0"/>
        <v>5325.4165516832718</v>
      </c>
    </row>
    <row r="57" spans="1:10" x14ac:dyDescent="0.3">
      <c r="A57">
        <v>44</v>
      </c>
      <c r="B57" s="174">
        <v>46624</v>
      </c>
      <c r="C57" s="154">
        <v>4404.7689736538505</v>
      </c>
      <c r="D57" s="154">
        <v>552.6475780294212</v>
      </c>
      <c r="E57" s="154" t="s">
        <v>141</v>
      </c>
      <c r="F57" s="154" t="s">
        <v>141</v>
      </c>
      <c r="G57" s="154">
        <v>368</v>
      </c>
      <c r="H57" s="154">
        <v>0</v>
      </c>
      <c r="I57" s="154"/>
      <c r="J57" s="175">
        <f t="shared" si="0"/>
        <v>5325.4165516832718</v>
      </c>
    </row>
    <row r="58" spans="1:10" x14ac:dyDescent="0.3">
      <c r="A58">
        <v>45</v>
      </c>
      <c r="B58" s="174">
        <v>46655</v>
      </c>
      <c r="C58" s="154">
        <v>4423.8563058730169</v>
      </c>
      <c r="D58" s="154">
        <v>533.5602458102544</v>
      </c>
      <c r="E58" s="154" t="s">
        <v>141</v>
      </c>
      <c r="F58" s="154" t="s">
        <v>141</v>
      </c>
      <c r="G58" s="154">
        <v>368</v>
      </c>
      <c r="H58" s="154">
        <v>0</v>
      </c>
      <c r="I58" s="154"/>
      <c r="J58" s="175">
        <f t="shared" si="0"/>
        <v>5325.4165516832709</v>
      </c>
    </row>
    <row r="59" spans="1:10" x14ac:dyDescent="0.3">
      <c r="A59">
        <v>46</v>
      </c>
      <c r="B59" s="174">
        <v>46685</v>
      </c>
      <c r="C59" s="154">
        <v>4443.0263498651339</v>
      </c>
      <c r="D59" s="154">
        <v>514.39020181813805</v>
      </c>
      <c r="E59" s="154" t="s">
        <v>141</v>
      </c>
      <c r="F59" s="154" t="s">
        <v>141</v>
      </c>
      <c r="G59" s="154">
        <v>368</v>
      </c>
      <c r="H59" s="154">
        <v>0</v>
      </c>
      <c r="I59" s="154"/>
      <c r="J59" s="175">
        <f t="shared" si="0"/>
        <v>5325.4165516832718</v>
      </c>
    </row>
    <row r="60" spans="1:10" x14ac:dyDescent="0.3">
      <c r="A60">
        <v>47</v>
      </c>
      <c r="B60" s="174">
        <v>46716</v>
      </c>
      <c r="C60" s="154">
        <v>4462.2794640478824</v>
      </c>
      <c r="D60" s="154">
        <v>495.13708763538915</v>
      </c>
      <c r="E60" s="154" t="s">
        <v>141</v>
      </c>
      <c r="F60" s="154" t="s">
        <v>141</v>
      </c>
      <c r="G60" s="154">
        <v>368</v>
      </c>
      <c r="H60" s="154">
        <v>0</v>
      </c>
      <c r="I60" s="154"/>
      <c r="J60" s="175">
        <f t="shared" si="0"/>
        <v>5325.4165516832718</v>
      </c>
    </row>
    <row r="61" spans="1:10" x14ac:dyDescent="0.3">
      <c r="A61">
        <v>48</v>
      </c>
      <c r="B61" s="174">
        <v>46746</v>
      </c>
      <c r="C61" s="154">
        <v>4481.6160083920904</v>
      </c>
      <c r="D61" s="154">
        <v>475.80054329118161</v>
      </c>
      <c r="E61" s="154" t="s">
        <v>141</v>
      </c>
      <c r="F61" s="154">
        <v>0</v>
      </c>
      <c r="G61" s="154">
        <v>368</v>
      </c>
      <c r="H61" s="154">
        <v>0</v>
      </c>
      <c r="I61" s="154"/>
      <c r="J61" s="175">
        <f t="shared" si="0"/>
        <v>5325.4165516832718</v>
      </c>
    </row>
    <row r="62" spans="1:10" x14ac:dyDescent="0.3">
      <c r="A62">
        <v>49</v>
      </c>
      <c r="B62" s="174">
        <v>46777</v>
      </c>
      <c r="C62" s="154">
        <v>4501.0363444284558</v>
      </c>
      <c r="D62" s="154">
        <v>456.38020725481596</v>
      </c>
      <c r="E62" s="154" t="s">
        <v>141</v>
      </c>
      <c r="F62" s="154" t="s">
        <v>141</v>
      </c>
      <c r="G62" s="154">
        <v>184</v>
      </c>
      <c r="H62" s="154">
        <v>0</v>
      </c>
      <c r="I62" s="154"/>
      <c r="J62" s="175">
        <f t="shared" si="0"/>
        <v>5141.4165516832718</v>
      </c>
    </row>
    <row r="63" spans="1:10" x14ac:dyDescent="0.3">
      <c r="A63">
        <v>50</v>
      </c>
      <c r="B63" s="174">
        <v>46808</v>
      </c>
      <c r="C63" s="154">
        <v>4520.5408352543127</v>
      </c>
      <c r="D63" s="154">
        <v>436.87571642895932</v>
      </c>
      <c r="E63" s="154" t="s">
        <v>141</v>
      </c>
      <c r="F63" s="154" t="s">
        <v>141</v>
      </c>
      <c r="G63" s="154">
        <v>184</v>
      </c>
      <c r="H63" s="154">
        <v>0</v>
      </c>
      <c r="I63" s="154"/>
      <c r="J63" s="175">
        <f t="shared" si="0"/>
        <v>5141.4165516832718</v>
      </c>
    </row>
    <row r="64" spans="1:10" x14ac:dyDescent="0.3">
      <c r="A64">
        <v>51</v>
      </c>
      <c r="B64" s="174">
        <v>46837</v>
      </c>
      <c r="C64" s="154">
        <v>4540.1298455404149</v>
      </c>
      <c r="D64" s="154">
        <v>417.28670614285727</v>
      </c>
      <c r="E64" s="154" t="s">
        <v>141</v>
      </c>
      <c r="F64" s="154" t="s">
        <v>141</v>
      </c>
      <c r="G64" s="154">
        <v>184</v>
      </c>
      <c r="H64" s="154">
        <v>0</v>
      </c>
      <c r="I64" s="154"/>
      <c r="J64" s="175">
        <f t="shared" si="0"/>
        <v>5141.4165516832718</v>
      </c>
    </row>
    <row r="65" spans="1:10" x14ac:dyDescent="0.3">
      <c r="A65">
        <v>52</v>
      </c>
      <c r="B65" s="174">
        <v>46868</v>
      </c>
      <c r="C65" s="154">
        <v>4559.8037415377567</v>
      </c>
      <c r="D65" s="154">
        <v>397.61281014551548</v>
      </c>
      <c r="E65" s="154" t="s">
        <v>141</v>
      </c>
      <c r="F65" s="154" t="s">
        <v>141</v>
      </c>
      <c r="G65" s="154">
        <v>184</v>
      </c>
      <c r="H65" s="154">
        <v>0</v>
      </c>
      <c r="I65" s="154"/>
      <c r="J65" s="175">
        <f t="shared" si="0"/>
        <v>5141.4165516832718</v>
      </c>
    </row>
    <row r="66" spans="1:10" x14ac:dyDescent="0.3">
      <c r="A66">
        <v>53</v>
      </c>
      <c r="B66" s="174">
        <v>46898</v>
      </c>
      <c r="C66" s="154">
        <v>4579.5628910844198</v>
      </c>
      <c r="D66" s="154">
        <v>377.85366059885189</v>
      </c>
      <c r="E66" s="154" t="s">
        <v>141</v>
      </c>
      <c r="F66" s="154" t="s">
        <v>141</v>
      </c>
      <c r="G66" s="154">
        <v>184</v>
      </c>
      <c r="H66" s="154">
        <v>0</v>
      </c>
      <c r="I66" s="154"/>
      <c r="J66" s="175">
        <f t="shared" si="0"/>
        <v>5141.4165516832718</v>
      </c>
    </row>
    <row r="67" spans="1:10" x14ac:dyDescent="0.3">
      <c r="A67">
        <v>54</v>
      </c>
      <c r="B67" s="174">
        <v>46929</v>
      </c>
      <c r="C67" s="154">
        <v>4599.4076636124528</v>
      </c>
      <c r="D67" s="154">
        <v>358.00888807081941</v>
      </c>
      <c r="E67" s="154" t="s">
        <v>141</v>
      </c>
      <c r="F67" s="154" t="s">
        <v>141</v>
      </c>
      <c r="G67" s="154">
        <v>184</v>
      </c>
      <c r="H67" s="154">
        <v>0</v>
      </c>
      <c r="I67" s="154"/>
      <c r="J67" s="175">
        <f t="shared" si="0"/>
        <v>5141.4165516832718</v>
      </c>
    </row>
    <row r="68" spans="1:10" x14ac:dyDescent="0.3">
      <c r="A68">
        <v>55</v>
      </c>
      <c r="B68" s="174">
        <v>46959</v>
      </c>
      <c r="C68" s="154">
        <v>4619.3384301547731</v>
      </c>
      <c r="D68" s="154">
        <v>338.0781215284988</v>
      </c>
      <c r="E68" s="154" t="s">
        <v>141</v>
      </c>
      <c r="F68" s="154" t="s">
        <v>141</v>
      </c>
      <c r="G68" s="154">
        <v>184</v>
      </c>
      <c r="H68" s="154">
        <v>0</v>
      </c>
      <c r="I68" s="154"/>
      <c r="J68" s="175">
        <f t="shared" si="0"/>
        <v>5141.4165516832718</v>
      </c>
    </row>
    <row r="69" spans="1:10" x14ac:dyDescent="0.3">
      <c r="A69">
        <v>56</v>
      </c>
      <c r="B69" s="174">
        <v>46990</v>
      </c>
      <c r="C69" s="154">
        <v>4639.35556335211</v>
      </c>
      <c r="D69" s="154">
        <v>318.06098833116147</v>
      </c>
      <c r="E69" s="154" t="s">
        <v>141</v>
      </c>
      <c r="F69" s="154" t="s">
        <v>141</v>
      </c>
      <c r="G69" s="154">
        <v>184</v>
      </c>
      <c r="H69" s="154">
        <v>0</v>
      </c>
      <c r="I69" s="154"/>
      <c r="J69" s="175">
        <f t="shared" si="0"/>
        <v>5141.4165516832718</v>
      </c>
    </row>
    <row r="70" spans="1:10" x14ac:dyDescent="0.3">
      <c r="A70">
        <v>57</v>
      </c>
      <c r="B70" s="174">
        <v>47021</v>
      </c>
      <c r="C70" s="154">
        <v>4659.4594374599692</v>
      </c>
      <c r="D70" s="154">
        <v>297.95711422330231</v>
      </c>
      <c r="E70" s="154" t="s">
        <v>141</v>
      </c>
      <c r="F70" s="154" t="s">
        <v>141</v>
      </c>
      <c r="G70" s="154">
        <v>184</v>
      </c>
      <c r="H70" s="154">
        <v>0</v>
      </c>
      <c r="I70" s="154"/>
      <c r="J70" s="175">
        <f t="shared" si="0"/>
        <v>5141.4165516832718</v>
      </c>
    </row>
    <row r="71" spans="1:10" x14ac:dyDescent="0.3">
      <c r="A71">
        <v>58</v>
      </c>
      <c r="B71" s="174">
        <v>47051</v>
      </c>
      <c r="C71" s="154">
        <v>4679.6504283556296</v>
      </c>
      <c r="D71" s="154">
        <v>277.76612332764245</v>
      </c>
      <c r="E71" s="154" t="s">
        <v>141</v>
      </c>
      <c r="F71" s="154" t="s">
        <v>141</v>
      </c>
      <c r="G71" s="154">
        <v>184</v>
      </c>
      <c r="H71" s="154">
        <v>0</v>
      </c>
      <c r="I71" s="154"/>
      <c r="J71" s="175">
        <f t="shared" si="0"/>
        <v>5141.4165516832718</v>
      </c>
    </row>
    <row r="72" spans="1:10" x14ac:dyDescent="0.3">
      <c r="A72">
        <v>59</v>
      </c>
      <c r="B72" s="174">
        <v>47082</v>
      </c>
      <c r="C72" s="154">
        <v>4699.9289135451709</v>
      </c>
      <c r="D72" s="154">
        <v>257.48763813810137</v>
      </c>
      <c r="E72" s="154" t="s">
        <v>141</v>
      </c>
      <c r="F72" s="154" t="s">
        <v>141</v>
      </c>
      <c r="G72" s="154">
        <v>184</v>
      </c>
      <c r="H72" s="154">
        <v>0</v>
      </c>
      <c r="I72" s="154"/>
      <c r="J72" s="175">
        <f t="shared" si="0"/>
        <v>5141.4165516832727</v>
      </c>
    </row>
    <row r="73" spans="1:10" x14ac:dyDescent="0.3">
      <c r="A73">
        <v>60</v>
      </c>
      <c r="B73" s="174">
        <v>47112</v>
      </c>
      <c r="C73" s="154">
        <f>4720.29527217053+50000</f>
        <v>54720.29527217053</v>
      </c>
      <c r="D73" s="154">
        <v>237.12127951273894</v>
      </c>
      <c r="E73" s="154" t="s">
        <v>141</v>
      </c>
      <c r="F73" s="154">
        <v>0</v>
      </c>
      <c r="G73" s="154">
        <v>184</v>
      </c>
      <c r="H73" s="154">
        <v>0</v>
      </c>
      <c r="I73" s="154"/>
      <c r="J73" s="175">
        <f t="shared" si="0"/>
        <v>55141.416551683265</v>
      </c>
    </row>
    <row r="74" spans="1:10" x14ac:dyDescent="0.3">
      <c r="A74">
        <v>61</v>
      </c>
      <c r="B74" s="174"/>
      <c r="C74" s="154"/>
      <c r="D74" s="154"/>
      <c r="E74" s="154"/>
      <c r="F74" s="154"/>
      <c r="G74" s="154"/>
      <c r="H74" s="154"/>
      <c r="I74" s="154"/>
      <c r="J74" s="175" t="str">
        <f t="shared" si="0"/>
        <v/>
      </c>
    </row>
    <row r="75" spans="1:10" x14ac:dyDescent="0.3">
      <c r="A75">
        <v>62</v>
      </c>
      <c r="B75" s="174"/>
      <c r="C75" s="154"/>
      <c r="D75" s="154"/>
      <c r="E75" s="154"/>
      <c r="F75" s="154"/>
      <c r="G75" s="154"/>
      <c r="H75" s="154"/>
      <c r="I75" s="154"/>
      <c r="J75" s="175" t="str">
        <f t="shared" si="0"/>
        <v/>
      </c>
    </row>
    <row r="76" spans="1:10" x14ac:dyDescent="0.3">
      <c r="A76">
        <v>63</v>
      </c>
      <c r="B76" s="174"/>
      <c r="C76" s="154"/>
      <c r="D76" s="154"/>
      <c r="E76" s="154"/>
      <c r="F76" s="154"/>
      <c r="G76" s="154"/>
      <c r="H76" s="154"/>
      <c r="I76" s="154"/>
      <c r="J76" s="175" t="str">
        <f t="shared" si="0"/>
        <v/>
      </c>
    </row>
    <row r="77" spans="1:10" x14ac:dyDescent="0.3">
      <c r="A77">
        <v>64</v>
      </c>
      <c r="B77" s="174"/>
      <c r="C77" s="154"/>
      <c r="D77" s="154"/>
      <c r="E77" s="154"/>
      <c r="F77" s="154"/>
      <c r="G77" s="154"/>
      <c r="H77" s="154"/>
      <c r="I77" s="154"/>
      <c r="J77" s="175" t="str">
        <f t="shared" si="0"/>
        <v/>
      </c>
    </row>
    <row r="78" spans="1:10" x14ac:dyDescent="0.3">
      <c r="A78">
        <v>65</v>
      </c>
      <c r="B78" s="174"/>
      <c r="C78" s="154"/>
      <c r="D78" s="154"/>
      <c r="E78" s="154"/>
      <c r="F78" s="154"/>
      <c r="G78" s="154"/>
      <c r="H78" s="154"/>
      <c r="I78" s="154"/>
      <c r="J78" s="175" t="str">
        <f t="shared" si="0"/>
        <v/>
      </c>
    </row>
    <row r="79" spans="1:10" x14ac:dyDescent="0.3">
      <c r="A79">
        <v>66</v>
      </c>
      <c r="B79" s="174"/>
      <c r="C79" s="154"/>
      <c r="D79" s="154"/>
      <c r="E79" s="154"/>
      <c r="F79" s="154"/>
      <c r="G79" s="154"/>
      <c r="H79" s="154"/>
      <c r="I79" s="154"/>
      <c r="J79" s="175" t="str">
        <f t="shared" ref="J79:J142" si="1">IF(B79&lt;&gt;"",SUM(C79:I79),"")</f>
        <v/>
      </c>
    </row>
    <row r="80" spans="1:10" x14ac:dyDescent="0.3">
      <c r="A80">
        <v>67</v>
      </c>
      <c r="B80" s="174"/>
      <c r="C80" s="154"/>
      <c r="D80" s="154"/>
      <c r="E80" s="154"/>
      <c r="F80" s="154"/>
      <c r="G80" s="154"/>
      <c r="H80" s="154"/>
      <c r="I80" s="154"/>
      <c r="J80" s="175" t="str">
        <f t="shared" si="1"/>
        <v/>
      </c>
    </row>
    <row r="81" spans="1:10" x14ac:dyDescent="0.3">
      <c r="A81">
        <v>68</v>
      </c>
      <c r="B81" s="174"/>
      <c r="C81" s="154"/>
      <c r="D81" s="154"/>
      <c r="E81" s="154"/>
      <c r="F81" s="154"/>
      <c r="G81" s="154"/>
      <c r="H81" s="154"/>
      <c r="I81" s="154"/>
      <c r="J81" s="175" t="str">
        <f t="shared" si="1"/>
        <v/>
      </c>
    </row>
    <row r="82" spans="1:10" x14ac:dyDescent="0.3">
      <c r="A82">
        <v>69</v>
      </c>
      <c r="B82" s="174"/>
      <c r="C82" s="154"/>
      <c r="D82" s="154"/>
      <c r="E82" s="154"/>
      <c r="F82" s="154"/>
      <c r="G82" s="154"/>
      <c r="H82" s="154"/>
      <c r="I82" s="154"/>
      <c r="J82" s="175" t="str">
        <f t="shared" si="1"/>
        <v/>
      </c>
    </row>
    <row r="83" spans="1:10" x14ac:dyDescent="0.3">
      <c r="A83">
        <v>70</v>
      </c>
      <c r="B83" s="174"/>
      <c r="C83" s="154"/>
      <c r="D83" s="154"/>
      <c r="E83" s="154"/>
      <c r="F83" s="154"/>
      <c r="G83" s="154"/>
      <c r="H83" s="154"/>
      <c r="I83" s="154"/>
      <c r="J83" s="175" t="str">
        <f t="shared" si="1"/>
        <v/>
      </c>
    </row>
    <row r="84" spans="1:10" x14ac:dyDescent="0.3">
      <c r="A84">
        <v>71</v>
      </c>
      <c r="B84" s="174"/>
      <c r="C84" s="154"/>
      <c r="D84" s="154"/>
      <c r="E84" s="154"/>
      <c r="F84" s="154"/>
      <c r="G84" s="154"/>
      <c r="H84" s="154"/>
      <c r="I84" s="154"/>
      <c r="J84" s="175" t="str">
        <f t="shared" si="1"/>
        <v/>
      </c>
    </row>
    <row r="85" spans="1:10" x14ac:dyDescent="0.3">
      <c r="A85">
        <v>72</v>
      </c>
      <c r="B85" s="174"/>
      <c r="C85" s="154"/>
      <c r="D85" s="154"/>
      <c r="E85" s="154"/>
      <c r="F85" s="154"/>
      <c r="G85" s="154"/>
      <c r="H85" s="154"/>
      <c r="I85" s="154"/>
      <c r="J85" s="175" t="str">
        <f t="shared" si="1"/>
        <v/>
      </c>
    </row>
    <row r="86" spans="1:10" x14ac:dyDescent="0.3">
      <c r="A86">
        <v>73</v>
      </c>
      <c r="B86" s="174"/>
      <c r="C86" s="154"/>
      <c r="D86" s="154"/>
      <c r="E86" s="154"/>
      <c r="F86" s="154"/>
      <c r="G86" s="154"/>
      <c r="H86" s="154"/>
      <c r="I86" s="154"/>
      <c r="J86" s="175" t="str">
        <f t="shared" si="1"/>
        <v/>
      </c>
    </row>
    <row r="87" spans="1:10" x14ac:dyDescent="0.3">
      <c r="A87">
        <v>74</v>
      </c>
      <c r="B87" s="174"/>
      <c r="C87" s="154"/>
      <c r="D87" s="154"/>
      <c r="E87" s="154"/>
      <c r="F87" s="154"/>
      <c r="G87" s="154"/>
      <c r="H87" s="154"/>
      <c r="I87" s="154"/>
      <c r="J87" s="175" t="str">
        <f t="shared" si="1"/>
        <v/>
      </c>
    </row>
    <row r="88" spans="1:10" x14ac:dyDescent="0.3">
      <c r="A88">
        <v>75</v>
      </c>
      <c r="B88" s="174"/>
      <c r="C88" s="154"/>
      <c r="D88" s="154"/>
      <c r="E88" s="154"/>
      <c r="F88" s="154"/>
      <c r="G88" s="154"/>
      <c r="H88" s="154"/>
      <c r="I88" s="154"/>
      <c r="J88" s="175" t="str">
        <f t="shared" si="1"/>
        <v/>
      </c>
    </row>
    <row r="89" spans="1:10" x14ac:dyDescent="0.3">
      <c r="A89">
        <v>76</v>
      </c>
      <c r="B89" s="174"/>
      <c r="C89" s="154"/>
      <c r="D89" s="154"/>
      <c r="E89" s="154"/>
      <c r="F89" s="154"/>
      <c r="G89" s="154"/>
      <c r="H89" s="154"/>
      <c r="I89" s="154"/>
      <c r="J89" s="175" t="str">
        <f t="shared" si="1"/>
        <v/>
      </c>
    </row>
    <row r="90" spans="1:10" x14ac:dyDescent="0.3">
      <c r="A90">
        <v>77</v>
      </c>
      <c r="B90" s="174"/>
      <c r="C90" s="154"/>
      <c r="D90" s="154"/>
      <c r="E90" s="154"/>
      <c r="F90" s="154"/>
      <c r="G90" s="154"/>
      <c r="H90" s="154"/>
      <c r="I90" s="154"/>
      <c r="J90" s="175" t="str">
        <f t="shared" si="1"/>
        <v/>
      </c>
    </row>
    <row r="91" spans="1:10" x14ac:dyDescent="0.3">
      <c r="A91">
        <v>78</v>
      </c>
      <c r="B91" s="174"/>
      <c r="C91" s="154"/>
      <c r="D91" s="154"/>
      <c r="E91" s="154"/>
      <c r="F91" s="154"/>
      <c r="G91" s="154"/>
      <c r="H91" s="154"/>
      <c r="I91" s="154"/>
      <c r="J91" s="175" t="str">
        <f t="shared" si="1"/>
        <v/>
      </c>
    </row>
    <row r="92" spans="1:10" x14ac:dyDescent="0.3">
      <c r="A92">
        <v>79</v>
      </c>
      <c r="B92" s="174"/>
      <c r="C92" s="154"/>
      <c r="D92" s="154"/>
      <c r="E92" s="154"/>
      <c r="F92" s="154"/>
      <c r="G92" s="154"/>
      <c r="H92" s="154"/>
      <c r="I92" s="154"/>
      <c r="J92" s="175" t="str">
        <f t="shared" si="1"/>
        <v/>
      </c>
    </row>
    <row r="93" spans="1:10" x14ac:dyDescent="0.3">
      <c r="A93">
        <v>80</v>
      </c>
      <c r="B93" s="174"/>
      <c r="C93" s="154"/>
      <c r="D93" s="154"/>
      <c r="E93" s="154"/>
      <c r="F93" s="154"/>
      <c r="G93" s="154"/>
      <c r="H93" s="154"/>
      <c r="I93" s="154"/>
      <c r="J93" s="175" t="str">
        <f t="shared" si="1"/>
        <v/>
      </c>
    </row>
    <row r="94" spans="1:10" x14ac:dyDescent="0.3">
      <c r="A94">
        <v>81</v>
      </c>
      <c r="B94" s="174"/>
      <c r="C94" s="154"/>
      <c r="D94" s="154"/>
      <c r="E94" s="154"/>
      <c r="F94" s="154"/>
      <c r="G94" s="154"/>
      <c r="H94" s="154"/>
      <c r="I94" s="154"/>
      <c r="J94" s="175" t="str">
        <f t="shared" si="1"/>
        <v/>
      </c>
    </row>
    <row r="95" spans="1:10" x14ac:dyDescent="0.3">
      <c r="A95">
        <v>82</v>
      </c>
      <c r="B95" s="174"/>
      <c r="C95" s="154"/>
      <c r="D95" s="154"/>
      <c r="E95" s="154"/>
      <c r="F95" s="154"/>
      <c r="G95" s="154"/>
      <c r="H95" s="154"/>
      <c r="I95" s="154"/>
      <c r="J95" s="175" t="str">
        <f t="shared" si="1"/>
        <v/>
      </c>
    </row>
    <row r="96" spans="1:10" x14ac:dyDescent="0.3">
      <c r="A96">
        <v>83</v>
      </c>
      <c r="B96" s="174"/>
      <c r="C96" s="154"/>
      <c r="D96" s="154"/>
      <c r="E96" s="154"/>
      <c r="F96" s="154"/>
      <c r="G96" s="154"/>
      <c r="H96" s="154"/>
      <c r="I96" s="154"/>
      <c r="J96" s="175" t="str">
        <f t="shared" si="1"/>
        <v/>
      </c>
    </row>
    <row r="97" spans="1:10" x14ac:dyDescent="0.3">
      <c r="A97">
        <v>84</v>
      </c>
      <c r="B97" s="174"/>
      <c r="C97" s="154"/>
      <c r="D97" s="154"/>
      <c r="E97" s="154"/>
      <c r="F97" s="154"/>
      <c r="G97" s="154"/>
      <c r="H97" s="154"/>
      <c r="I97" s="154"/>
      <c r="J97" s="175" t="str">
        <f t="shared" si="1"/>
        <v/>
      </c>
    </row>
    <row r="98" spans="1:10" x14ac:dyDescent="0.3">
      <c r="A98">
        <v>85</v>
      </c>
      <c r="B98" s="174"/>
      <c r="C98" s="154"/>
      <c r="D98" s="154"/>
      <c r="E98" s="154"/>
      <c r="F98" s="154"/>
      <c r="G98" s="154"/>
      <c r="H98" s="154"/>
      <c r="I98" s="154"/>
      <c r="J98" s="175" t="str">
        <f t="shared" si="1"/>
        <v/>
      </c>
    </row>
    <row r="99" spans="1:10" x14ac:dyDescent="0.3">
      <c r="A99">
        <v>86</v>
      </c>
      <c r="B99" s="174"/>
      <c r="C99" s="154"/>
      <c r="D99" s="154"/>
      <c r="E99" s="154"/>
      <c r="F99" s="154"/>
      <c r="G99" s="154"/>
      <c r="H99" s="154"/>
      <c r="I99" s="154"/>
      <c r="J99" s="175" t="str">
        <f t="shared" si="1"/>
        <v/>
      </c>
    </row>
    <row r="100" spans="1:10" x14ac:dyDescent="0.3">
      <c r="A100">
        <v>87</v>
      </c>
      <c r="B100" s="174"/>
      <c r="C100" s="154"/>
      <c r="D100" s="154"/>
      <c r="E100" s="154"/>
      <c r="F100" s="154"/>
      <c r="G100" s="154"/>
      <c r="H100" s="154"/>
      <c r="I100" s="154"/>
      <c r="J100" s="175" t="str">
        <f t="shared" si="1"/>
        <v/>
      </c>
    </row>
    <row r="101" spans="1:10" x14ac:dyDescent="0.3">
      <c r="A101">
        <v>88</v>
      </c>
      <c r="B101" s="174"/>
      <c r="C101" s="154"/>
      <c r="D101" s="154"/>
      <c r="E101" s="154"/>
      <c r="F101" s="154"/>
      <c r="G101" s="154"/>
      <c r="H101" s="154"/>
      <c r="I101" s="154"/>
      <c r="J101" s="175" t="str">
        <f t="shared" si="1"/>
        <v/>
      </c>
    </row>
    <row r="102" spans="1:10" x14ac:dyDescent="0.3">
      <c r="A102">
        <v>89</v>
      </c>
      <c r="B102" s="174"/>
      <c r="C102" s="154"/>
      <c r="D102" s="154"/>
      <c r="E102" s="154"/>
      <c r="F102" s="154"/>
      <c r="G102" s="154"/>
      <c r="H102" s="154"/>
      <c r="I102" s="154"/>
      <c r="J102" s="175" t="str">
        <f t="shared" si="1"/>
        <v/>
      </c>
    </row>
    <row r="103" spans="1:10" x14ac:dyDescent="0.3">
      <c r="A103">
        <v>90</v>
      </c>
      <c r="B103" s="174"/>
      <c r="C103" s="154"/>
      <c r="D103" s="154"/>
      <c r="E103" s="154"/>
      <c r="F103" s="154"/>
      <c r="G103" s="154"/>
      <c r="H103" s="154"/>
      <c r="I103" s="154"/>
      <c r="J103" s="175" t="str">
        <f t="shared" si="1"/>
        <v/>
      </c>
    </row>
    <row r="104" spans="1:10" x14ac:dyDescent="0.3">
      <c r="A104">
        <v>91</v>
      </c>
      <c r="B104" s="174"/>
      <c r="C104" s="154"/>
      <c r="D104" s="154"/>
      <c r="E104" s="154"/>
      <c r="F104" s="154"/>
      <c r="G104" s="154"/>
      <c r="H104" s="154"/>
      <c r="I104" s="154"/>
      <c r="J104" s="175" t="str">
        <f t="shared" si="1"/>
        <v/>
      </c>
    </row>
    <row r="105" spans="1:10" x14ac:dyDescent="0.3">
      <c r="A105">
        <v>92</v>
      </c>
      <c r="B105" s="174"/>
      <c r="C105" s="154"/>
      <c r="D105" s="154"/>
      <c r="E105" s="154"/>
      <c r="F105" s="154"/>
      <c r="G105" s="154"/>
      <c r="H105" s="154"/>
      <c r="I105" s="154"/>
      <c r="J105" s="175" t="str">
        <f t="shared" si="1"/>
        <v/>
      </c>
    </row>
    <row r="106" spans="1:10" x14ac:dyDescent="0.3">
      <c r="A106">
        <v>93</v>
      </c>
      <c r="B106" s="174"/>
      <c r="C106" s="154"/>
      <c r="D106" s="154"/>
      <c r="E106" s="154"/>
      <c r="F106" s="154"/>
      <c r="G106" s="154"/>
      <c r="H106" s="154"/>
      <c r="I106" s="154"/>
      <c r="J106" s="175" t="str">
        <f t="shared" si="1"/>
        <v/>
      </c>
    </row>
    <row r="107" spans="1:10" x14ac:dyDescent="0.3">
      <c r="A107">
        <v>94</v>
      </c>
      <c r="B107" s="174"/>
      <c r="C107" s="154"/>
      <c r="D107" s="154"/>
      <c r="E107" s="154"/>
      <c r="F107" s="154"/>
      <c r="G107" s="154"/>
      <c r="H107" s="154"/>
      <c r="I107" s="154"/>
      <c r="J107" s="175" t="str">
        <f t="shared" si="1"/>
        <v/>
      </c>
    </row>
    <row r="108" spans="1:10" x14ac:dyDescent="0.3">
      <c r="A108">
        <v>95</v>
      </c>
      <c r="B108" s="174"/>
      <c r="C108" s="154"/>
      <c r="D108" s="154"/>
      <c r="E108" s="154"/>
      <c r="F108" s="154"/>
      <c r="G108" s="154"/>
      <c r="H108" s="154"/>
      <c r="I108" s="154"/>
      <c r="J108" s="175" t="str">
        <f t="shared" si="1"/>
        <v/>
      </c>
    </row>
    <row r="109" spans="1:10" x14ac:dyDescent="0.3">
      <c r="A109">
        <v>96</v>
      </c>
      <c r="B109" s="174"/>
      <c r="C109" s="154"/>
      <c r="D109" s="154"/>
      <c r="E109" s="154"/>
      <c r="F109" s="154"/>
      <c r="G109" s="154"/>
      <c r="H109" s="154"/>
      <c r="I109" s="154"/>
      <c r="J109" s="175" t="str">
        <f t="shared" si="1"/>
        <v/>
      </c>
    </row>
    <row r="110" spans="1:10" x14ac:dyDescent="0.3">
      <c r="A110">
        <v>97</v>
      </c>
      <c r="B110" s="174"/>
      <c r="C110" s="154"/>
      <c r="D110" s="154"/>
      <c r="E110" s="154"/>
      <c r="F110" s="154"/>
      <c r="G110" s="154"/>
      <c r="H110" s="154"/>
      <c r="I110" s="154"/>
      <c r="J110" s="175" t="str">
        <f t="shared" si="1"/>
        <v/>
      </c>
    </row>
    <row r="111" spans="1:10" x14ac:dyDescent="0.3">
      <c r="A111">
        <v>98</v>
      </c>
      <c r="B111" s="174"/>
      <c r="C111" s="154"/>
      <c r="D111" s="154"/>
      <c r="E111" s="154"/>
      <c r="F111" s="154"/>
      <c r="G111" s="154"/>
      <c r="H111" s="154"/>
      <c r="I111" s="154"/>
      <c r="J111" s="175" t="str">
        <f t="shared" si="1"/>
        <v/>
      </c>
    </row>
    <row r="112" spans="1:10" x14ac:dyDescent="0.3">
      <c r="A112">
        <v>99</v>
      </c>
      <c r="B112" s="174"/>
      <c r="C112" s="154"/>
      <c r="D112" s="154"/>
      <c r="E112" s="154"/>
      <c r="F112" s="154"/>
      <c r="G112" s="154"/>
      <c r="H112" s="154"/>
      <c r="I112" s="154"/>
      <c r="J112" s="175" t="str">
        <f t="shared" si="1"/>
        <v/>
      </c>
    </row>
    <row r="113" spans="1:10" x14ac:dyDescent="0.3">
      <c r="A113">
        <v>100</v>
      </c>
      <c r="B113" s="174"/>
      <c r="C113" s="154"/>
      <c r="D113" s="154"/>
      <c r="E113" s="154"/>
      <c r="F113" s="154"/>
      <c r="G113" s="154"/>
      <c r="H113" s="154"/>
      <c r="I113" s="154"/>
      <c r="J113" s="175" t="str">
        <f t="shared" si="1"/>
        <v/>
      </c>
    </row>
    <row r="114" spans="1:10" x14ac:dyDescent="0.3">
      <c r="A114">
        <v>101</v>
      </c>
      <c r="B114" s="174"/>
      <c r="C114" s="154"/>
      <c r="D114" s="154"/>
      <c r="E114" s="154"/>
      <c r="F114" s="154"/>
      <c r="G114" s="154"/>
      <c r="H114" s="154"/>
      <c r="I114" s="154"/>
      <c r="J114" s="175" t="str">
        <f t="shared" si="1"/>
        <v/>
      </c>
    </row>
    <row r="115" spans="1:10" x14ac:dyDescent="0.3">
      <c r="A115">
        <v>102</v>
      </c>
      <c r="B115" s="174"/>
      <c r="C115" s="154"/>
      <c r="D115" s="154"/>
      <c r="E115" s="154"/>
      <c r="F115" s="154"/>
      <c r="G115" s="154"/>
      <c r="H115" s="154"/>
      <c r="I115" s="154"/>
      <c r="J115" s="175" t="str">
        <f t="shared" si="1"/>
        <v/>
      </c>
    </row>
    <row r="116" spans="1:10" x14ac:dyDescent="0.3">
      <c r="A116">
        <v>103</v>
      </c>
      <c r="B116" s="174"/>
      <c r="C116" s="154"/>
      <c r="D116" s="154"/>
      <c r="E116" s="154"/>
      <c r="F116" s="154"/>
      <c r="G116" s="154"/>
      <c r="H116" s="154"/>
      <c r="I116" s="154"/>
      <c r="J116" s="175" t="str">
        <f t="shared" si="1"/>
        <v/>
      </c>
    </row>
    <row r="117" spans="1:10" x14ac:dyDescent="0.3">
      <c r="A117">
        <v>104</v>
      </c>
      <c r="B117" s="174"/>
      <c r="C117" s="154"/>
      <c r="D117" s="154"/>
      <c r="E117" s="154"/>
      <c r="F117" s="154"/>
      <c r="G117" s="154"/>
      <c r="H117" s="154"/>
      <c r="I117" s="154"/>
      <c r="J117" s="175" t="str">
        <f t="shared" si="1"/>
        <v/>
      </c>
    </row>
    <row r="118" spans="1:10" x14ac:dyDescent="0.3">
      <c r="A118">
        <v>105</v>
      </c>
      <c r="B118" s="174"/>
      <c r="C118" s="154"/>
      <c r="D118" s="154"/>
      <c r="E118" s="154"/>
      <c r="F118" s="154"/>
      <c r="G118" s="154"/>
      <c r="H118" s="154"/>
      <c r="I118" s="154"/>
      <c r="J118" s="175" t="str">
        <f t="shared" si="1"/>
        <v/>
      </c>
    </row>
    <row r="119" spans="1:10" x14ac:dyDescent="0.3">
      <c r="A119">
        <v>106</v>
      </c>
      <c r="B119" s="174"/>
      <c r="C119" s="154"/>
      <c r="D119" s="154"/>
      <c r="E119" s="154"/>
      <c r="F119" s="154"/>
      <c r="G119" s="154"/>
      <c r="H119" s="154"/>
      <c r="I119" s="154"/>
      <c r="J119" s="175" t="str">
        <f t="shared" si="1"/>
        <v/>
      </c>
    </row>
    <row r="120" spans="1:10" x14ac:dyDescent="0.3">
      <c r="A120">
        <v>107</v>
      </c>
      <c r="B120" s="174"/>
      <c r="C120" s="154"/>
      <c r="D120" s="154"/>
      <c r="E120" s="154"/>
      <c r="F120" s="154"/>
      <c r="G120" s="154"/>
      <c r="H120" s="154"/>
      <c r="I120" s="154"/>
      <c r="J120" s="175" t="str">
        <f t="shared" si="1"/>
        <v/>
      </c>
    </row>
    <row r="121" spans="1:10" x14ac:dyDescent="0.3">
      <c r="A121">
        <v>108</v>
      </c>
      <c r="B121" s="174"/>
      <c r="C121" s="154"/>
      <c r="D121" s="154"/>
      <c r="E121" s="154"/>
      <c r="F121" s="154"/>
      <c r="G121" s="154"/>
      <c r="H121" s="154"/>
      <c r="I121" s="154"/>
      <c r="J121" s="175" t="str">
        <f t="shared" si="1"/>
        <v/>
      </c>
    </row>
    <row r="122" spans="1:10" x14ac:dyDescent="0.3">
      <c r="A122">
        <v>109</v>
      </c>
      <c r="B122" s="174"/>
      <c r="C122" s="154"/>
      <c r="D122" s="154"/>
      <c r="E122" s="154"/>
      <c r="F122" s="154"/>
      <c r="G122" s="154"/>
      <c r="H122" s="154"/>
      <c r="I122" s="154"/>
      <c r="J122" s="175" t="str">
        <f t="shared" si="1"/>
        <v/>
      </c>
    </row>
    <row r="123" spans="1:10" x14ac:dyDescent="0.3">
      <c r="A123">
        <v>110</v>
      </c>
      <c r="B123" s="174"/>
      <c r="C123" s="154"/>
      <c r="D123" s="154"/>
      <c r="E123" s="154"/>
      <c r="F123" s="154"/>
      <c r="G123" s="154"/>
      <c r="H123" s="154"/>
      <c r="I123" s="154"/>
      <c r="J123" s="175" t="str">
        <f t="shared" si="1"/>
        <v/>
      </c>
    </row>
    <row r="124" spans="1:10" x14ac:dyDescent="0.3">
      <c r="A124">
        <v>111</v>
      </c>
      <c r="B124" s="174"/>
      <c r="C124" s="154"/>
      <c r="D124" s="154"/>
      <c r="E124" s="154"/>
      <c r="F124" s="154"/>
      <c r="G124" s="154"/>
      <c r="H124" s="154"/>
      <c r="I124" s="154"/>
      <c r="J124" s="175" t="str">
        <f t="shared" si="1"/>
        <v/>
      </c>
    </row>
    <row r="125" spans="1:10" x14ac:dyDescent="0.3">
      <c r="A125">
        <v>112</v>
      </c>
      <c r="B125" s="174"/>
      <c r="C125" s="154"/>
      <c r="D125" s="154"/>
      <c r="E125" s="154"/>
      <c r="F125" s="154"/>
      <c r="G125" s="154"/>
      <c r="H125" s="154"/>
      <c r="I125" s="154"/>
      <c r="J125" s="175" t="str">
        <f t="shared" si="1"/>
        <v/>
      </c>
    </row>
    <row r="126" spans="1:10" x14ac:dyDescent="0.3">
      <c r="A126">
        <v>113</v>
      </c>
      <c r="B126" s="174"/>
      <c r="C126" s="154"/>
      <c r="D126" s="154"/>
      <c r="E126" s="154"/>
      <c r="F126" s="154"/>
      <c r="G126" s="154"/>
      <c r="H126" s="154"/>
      <c r="I126" s="154"/>
      <c r="J126" s="175" t="str">
        <f t="shared" si="1"/>
        <v/>
      </c>
    </row>
    <row r="127" spans="1:10" x14ac:dyDescent="0.3">
      <c r="A127">
        <v>114</v>
      </c>
      <c r="B127" s="174"/>
      <c r="C127" s="154"/>
      <c r="D127" s="154"/>
      <c r="E127" s="154"/>
      <c r="F127" s="154"/>
      <c r="G127" s="154"/>
      <c r="H127" s="154"/>
      <c r="I127" s="154"/>
      <c r="J127" s="175" t="str">
        <f t="shared" si="1"/>
        <v/>
      </c>
    </row>
    <row r="128" spans="1:10" x14ac:dyDescent="0.3">
      <c r="A128">
        <v>115</v>
      </c>
      <c r="B128" s="174"/>
      <c r="C128" s="154"/>
      <c r="D128" s="154"/>
      <c r="E128" s="154"/>
      <c r="F128" s="154"/>
      <c r="G128" s="154"/>
      <c r="H128" s="154"/>
      <c r="I128" s="154"/>
      <c r="J128" s="175" t="str">
        <f t="shared" si="1"/>
        <v/>
      </c>
    </row>
    <row r="129" spans="1:10" x14ac:dyDescent="0.3">
      <c r="A129">
        <v>116</v>
      </c>
      <c r="B129" s="174"/>
      <c r="C129" s="154"/>
      <c r="D129" s="154"/>
      <c r="E129" s="154"/>
      <c r="F129" s="154"/>
      <c r="G129" s="154"/>
      <c r="H129" s="154"/>
      <c r="I129" s="154"/>
      <c r="J129" s="175" t="str">
        <f t="shared" si="1"/>
        <v/>
      </c>
    </row>
    <row r="130" spans="1:10" x14ac:dyDescent="0.3">
      <c r="A130">
        <v>117</v>
      </c>
      <c r="B130" s="174"/>
      <c r="C130" s="154"/>
      <c r="D130" s="154"/>
      <c r="E130" s="154"/>
      <c r="F130" s="154"/>
      <c r="G130" s="154"/>
      <c r="H130" s="154"/>
      <c r="I130" s="154"/>
      <c r="J130" s="175" t="str">
        <f t="shared" si="1"/>
        <v/>
      </c>
    </row>
    <row r="131" spans="1:10" x14ac:dyDescent="0.3">
      <c r="A131">
        <v>118</v>
      </c>
      <c r="B131" s="174"/>
      <c r="C131" s="154"/>
      <c r="D131" s="154"/>
      <c r="E131" s="154"/>
      <c r="F131" s="154"/>
      <c r="G131" s="154"/>
      <c r="H131" s="154"/>
      <c r="I131" s="154"/>
      <c r="J131" s="175" t="str">
        <f t="shared" si="1"/>
        <v/>
      </c>
    </row>
    <row r="132" spans="1:10" x14ac:dyDescent="0.3">
      <c r="A132">
        <v>119</v>
      </c>
      <c r="B132" s="174"/>
      <c r="C132" s="154"/>
      <c r="D132" s="154"/>
      <c r="E132" s="154"/>
      <c r="F132" s="154"/>
      <c r="G132" s="154"/>
      <c r="H132" s="154"/>
      <c r="I132" s="154"/>
      <c r="J132" s="175" t="str">
        <f t="shared" si="1"/>
        <v/>
      </c>
    </row>
    <row r="133" spans="1:10" x14ac:dyDescent="0.3">
      <c r="A133">
        <v>120</v>
      </c>
      <c r="B133" s="174"/>
      <c r="C133" s="154"/>
      <c r="D133" s="154"/>
      <c r="E133" s="154"/>
      <c r="F133" s="154"/>
      <c r="G133" s="154"/>
      <c r="H133" s="154"/>
      <c r="I133" s="154"/>
      <c r="J133" s="175" t="str">
        <f t="shared" si="1"/>
        <v/>
      </c>
    </row>
    <row r="134" spans="1:10" x14ac:dyDescent="0.3">
      <c r="A134">
        <v>121</v>
      </c>
      <c r="B134" s="174"/>
      <c r="C134" s="154"/>
      <c r="D134" s="154"/>
      <c r="E134" s="154"/>
      <c r="F134" s="154"/>
      <c r="G134" s="154"/>
      <c r="H134" s="154"/>
      <c r="I134" s="154"/>
      <c r="J134" s="175" t="str">
        <f t="shared" si="1"/>
        <v/>
      </c>
    </row>
    <row r="135" spans="1:10" x14ac:dyDescent="0.3">
      <c r="A135">
        <v>122</v>
      </c>
      <c r="B135" s="174"/>
      <c r="C135" s="154"/>
      <c r="D135" s="154"/>
      <c r="E135" s="154"/>
      <c r="F135" s="154"/>
      <c r="G135" s="154"/>
      <c r="H135" s="154"/>
      <c r="I135" s="154"/>
      <c r="J135" s="175" t="str">
        <f t="shared" si="1"/>
        <v/>
      </c>
    </row>
    <row r="136" spans="1:10" x14ac:dyDescent="0.3">
      <c r="A136">
        <v>123</v>
      </c>
      <c r="B136" s="174"/>
      <c r="C136" s="154"/>
      <c r="D136" s="154"/>
      <c r="E136" s="154"/>
      <c r="F136" s="154"/>
      <c r="G136" s="154"/>
      <c r="H136" s="154"/>
      <c r="I136" s="154"/>
      <c r="J136" s="175" t="str">
        <f t="shared" si="1"/>
        <v/>
      </c>
    </row>
    <row r="137" spans="1:10" x14ac:dyDescent="0.3">
      <c r="A137">
        <v>124</v>
      </c>
      <c r="B137" s="174"/>
      <c r="C137" s="154"/>
      <c r="D137" s="154"/>
      <c r="E137" s="154"/>
      <c r="F137" s="154"/>
      <c r="G137" s="154"/>
      <c r="H137" s="154"/>
      <c r="I137" s="154"/>
      <c r="J137" s="175" t="str">
        <f t="shared" si="1"/>
        <v/>
      </c>
    </row>
    <row r="138" spans="1:10" x14ac:dyDescent="0.3">
      <c r="A138">
        <v>125</v>
      </c>
      <c r="B138" s="174"/>
      <c r="C138" s="154"/>
      <c r="D138" s="154"/>
      <c r="E138" s="154"/>
      <c r="F138" s="154"/>
      <c r="G138" s="154"/>
      <c r="H138" s="154"/>
      <c r="I138" s="154"/>
      <c r="J138" s="175" t="str">
        <f t="shared" si="1"/>
        <v/>
      </c>
    </row>
    <row r="139" spans="1:10" x14ac:dyDescent="0.3">
      <c r="A139">
        <v>126</v>
      </c>
      <c r="B139" s="174"/>
      <c r="C139" s="154"/>
      <c r="D139" s="154"/>
      <c r="E139" s="154"/>
      <c r="F139" s="154"/>
      <c r="G139" s="154"/>
      <c r="H139" s="154"/>
      <c r="I139" s="154"/>
      <c r="J139" s="175" t="str">
        <f t="shared" si="1"/>
        <v/>
      </c>
    </row>
    <row r="140" spans="1:10" x14ac:dyDescent="0.3">
      <c r="A140">
        <v>127</v>
      </c>
      <c r="B140" s="174"/>
      <c r="C140" s="154"/>
      <c r="D140" s="154"/>
      <c r="E140" s="154"/>
      <c r="F140" s="154"/>
      <c r="G140" s="154"/>
      <c r="H140" s="154"/>
      <c r="I140" s="154"/>
      <c r="J140" s="175" t="str">
        <f t="shared" si="1"/>
        <v/>
      </c>
    </row>
    <row r="141" spans="1:10" x14ac:dyDescent="0.3">
      <c r="A141">
        <v>128</v>
      </c>
      <c r="B141" s="174"/>
      <c r="C141" s="154"/>
      <c r="D141" s="154"/>
      <c r="E141" s="154"/>
      <c r="F141" s="154"/>
      <c r="G141" s="154"/>
      <c r="H141" s="154"/>
      <c r="I141" s="154"/>
      <c r="J141" s="175" t="str">
        <f t="shared" si="1"/>
        <v/>
      </c>
    </row>
    <row r="142" spans="1:10" x14ac:dyDescent="0.3">
      <c r="A142">
        <v>129</v>
      </c>
      <c r="B142" s="174"/>
      <c r="C142" s="154"/>
      <c r="D142" s="154"/>
      <c r="E142" s="154"/>
      <c r="F142" s="154"/>
      <c r="G142" s="154"/>
      <c r="H142" s="154"/>
      <c r="I142" s="154"/>
      <c r="J142" s="175" t="str">
        <f t="shared" si="1"/>
        <v/>
      </c>
    </row>
    <row r="143" spans="1:10" x14ac:dyDescent="0.3">
      <c r="A143">
        <v>130</v>
      </c>
      <c r="B143" s="174"/>
      <c r="C143" s="154"/>
      <c r="D143" s="154"/>
      <c r="E143" s="154"/>
      <c r="F143" s="154"/>
      <c r="G143" s="154"/>
      <c r="H143" s="154"/>
      <c r="I143" s="154"/>
      <c r="J143" s="175" t="str">
        <f t="shared" ref="J143:J206" si="2">IF(B143&lt;&gt;"",SUM(C143:I143),"")</f>
        <v/>
      </c>
    </row>
    <row r="144" spans="1:10" x14ac:dyDescent="0.3">
      <c r="A144">
        <v>131</v>
      </c>
      <c r="B144" s="174"/>
      <c r="C144" s="154"/>
      <c r="D144" s="154"/>
      <c r="E144" s="154"/>
      <c r="F144" s="154"/>
      <c r="G144" s="154"/>
      <c r="H144" s="154"/>
      <c r="I144" s="154"/>
      <c r="J144" s="175" t="str">
        <f t="shared" si="2"/>
        <v/>
      </c>
    </row>
    <row r="145" spans="1:10" x14ac:dyDescent="0.3">
      <c r="A145">
        <v>132</v>
      </c>
      <c r="B145" s="174"/>
      <c r="C145" s="154"/>
      <c r="D145" s="154"/>
      <c r="E145" s="154"/>
      <c r="F145" s="154"/>
      <c r="G145" s="154"/>
      <c r="H145" s="154"/>
      <c r="I145" s="154"/>
      <c r="J145" s="175" t="str">
        <f t="shared" si="2"/>
        <v/>
      </c>
    </row>
    <row r="146" spans="1:10" x14ac:dyDescent="0.3">
      <c r="A146">
        <v>133</v>
      </c>
      <c r="B146" s="174"/>
      <c r="C146" s="154"/>
      <c r="D146" s="154"/>
      <c r="E146" s="154"/>
      <c r="F146" s="154"/>
      <c r="G146" s="154"/>
      <c r="H146" s="154"/>
      <c r="I146" s="154"/>
      <c r="J146" s="175" t="str">
        <f t="shared" si="2"/>
        <v/>
      </c>
    </row>
    <row r="147" spans="1:10" x14ac:dyDescent="0.3">
      <c r="A147">
        <v>134</v>
      </c>
      <c r="B147" s="174"/>
      <c r="C147" s="154"/>
      <c r="D147" s="154"/>
      <c r="E147" s="154"/>
      <c r="F147" s="154"/>
      <c r="G147" s="154"/>
      <c r="H147" s="154"/>
      <c r="I147" s="154"/>
      <c r="J147" s="175" t="str">
        <f t="shared" si="2"/>
        <v/>
      </c>
    </row>
    <row r="148" spans="1:10" x14ac:dyDescent="0.3">
      <c r="A148">
        <v>135</v>
      </c>
      <c r="B148" s="174"/>
      <c r="C148" s="154"/>
      <c r="D148" s="154"/>
      <c r="E148" s="154"/>
      <c r="F148" s="154"/>
      <c r="G148" s="154"/>
      <c r="H148" s="154"/>
      <c r="I148" s="154"/>
      <c r="J148" s="175" t="str">
        <f t="shared" si="2"/>
        <v/>
      </c>
    </row>
    <row r="149" spans="1:10" x14ac:dyDescent="0.3">
      <c r="A149">
        <v>136</v>
      </c>
      <c r="B149" s="174"/>
      <c r="C149" s="154"/>
      <c r="D149" s="154"/>
      <c r="E149" s="154"/>
      <c r="F149" s="154"/>
      <c r="G149" s="154"/>
      <c r="H149" s="154"/>
      <c r="I149" s="154"/>
      <c r="J149" s="175" t="str">
        <f t="shared" si="2"/>
        <v/>
      </c>
    </row>
    <row r="150" spans="1:10" x14ac:dyDescent="0.3">
      <c r="A150">
        <v>137</v>
      </c>
      <c r="B150" s="174"/>
      <c r="C150" s="154"/>
      <c r="D150" s="154"/>
      <c r="E150" s="154"/>
      <c r="F150" s="154"/>
      <c r="G150" s="154"/>
      <c r="H150" s="154"/>
      <c r="I150" s="154"/>
      <c r="J150" s="175" t="str">
        <f t="shared" si="2"/>
        <v/>
      </c>
    </row>
    <row r="151" spans="1:10" x14ac:dyDescent="0.3">
      <c r="A151">
        <v>138</v>
      </c>
      <c r="B151" s="174"/>
      <c r="C151" s="154"/>
      <c r="D151" s="154"/>
      <c r="E151" s="154"/>
      <c r="F151" s="154"/>
      <c r="G151" s="154"/>
      <c r="H151" s="154"/>
      <c r="I151" s="154"/>
      <c r="J151" s="175" t="str">
        <f t="shared" si="2"/>
        <v/>
      </c>
    </row>
    <row r="152" spans="1:10" x14ac:dyDescent="0.3">
      <c r="A152">
        <v>139</v>
      </c>
      <c r="B152" s="174"/>
      <c r="C152" s="154"/>
      <c r="D152" s="154"/>
      <c r="E152" s="154"/>
      <c r="F152" s="154"/>
      <c r="G152" s="154"/>
      <c r="H152" s="154"/>
      <c r="I152" s="154"/>
      <c r="J152" s="175" t="str">
        <f t="shared" si="2"/>
        <v/>
      </c>
    </row>
    <row r="153" spans="1:10" x14ac:dyDescent="0.3">
      <c r="A153">
        <v>140</v>
      </c>
      <c r="B153" s="174"/>
      <c r="C153" s="154"/>
      <c r="D153" s="154"/>
      <c r="E153" s="154"/>
      <c r="F153" s="154"/>
      <c r="G153" s="154"/>
      <c r="H153" s="154"/>
      <c r="I153" s="154"/>
      <c r="J153" s="175" t="str">
        <f t="shared" si="2"/>
        <v/>
      </c>
    </row>
    <row r="154" spans="1:10" x14ac:dyDescent="0.3">
      <c r="A154">
        <v>141</v>
      </c>
      <c r="B154" s="174"/>
      <c r="C154" s="154"/>
      <c r="D154" s="154"/>
      <c r="E154" s="154"/>
      <c r="F154" s="154"/>
      <c r="G154" s="154"/>
      <c r="H154" s="154"/>
      <c r="I154" s="154"/>
      <c r="J154" s="175" t="str">
        <f t="shared" si="2"/>
        <v/>
      </c>
    </row>
    <row r="155" spans="1:10" x14ac:dyDescent="0.3">
      <c r="A155">
        <v>142</v>
      </c>
      <c r="B155" s="174"/>
      <c r="C155" s="154"/>
      <c r="D155" s="154"/>
      <c r="E155" s="154"/>
      <c r="F155" s="154"/>
      <c r="G155" s="154"/>
      <c r="H155" s="154"/>
      <c r="I155" s="154"/>
      <c r="J155" s="175" t="str">
        <f t="shared" si="2"/>
        <v/>
      </c>
    </row>
    <row r="156" spans="1:10" x14ac:dyDescent="0.3">
      <c r="A156">
        <v>143</v>
      </c>
      <c r="B156" s="174"/>
      <c r="C156" s="154"/>
      <c r="D156" s="154"/>
      <c r="E156" s="154"/>
      <c r="F156" s="154"/>
      <c r="G156" s="154"/>
      <c r="H156" s="154"/>
      <c r="I156" s="154"/>
      <c r="J156" s="175" t="str">
        <f t="shared" si="2"/>
        <v/>
      </c>
    </row>
    <row r="157" spans="1:10" x14ac:dyDescent="0.3">
      <c r="A157">
        <v>144</v>
      </c>
      <c r="B157" s="174"/>
      <c r="C157" s="154"/>
      <c r="D157" s="154"/>
      <c r="E157" s="154"/>
      <c r="F157" s="154"/>
      <c r="G157" s="154"/>
      <c r="H157" s="154"/>
      <c r="I157" s="154"/>
      <c r="J157" s="175" t="str">
        <f t="shared" si="2"/>
        <v/>
      </c>
    </row>
    <row r="158" spans="1:10" x14ac:dyDescent="0.3">
      <c r="A158">
        <v>145</v>
      </c>
      <c r="B158" s="174"/>
      <c r="C158" s="154"/>
      <c r="D158" s="154"/>
      <c r="E158" s="154"/>
      <c r="F158" s="154"/>
      <c r="G158" s="154"/>
      <c r="H158" s="154"/>
      <c r="I158" s="154"/>
      <c r="J158" s="175" t="str">
        <f t="shared" si="2"/>
        <v/>
      </c>
    </row>
    <row r="159" spans="1:10" x14ac:dyDescent="0.3">
      <c r="A159">
        <v>146</v>
      </c>
      <c r="B159" s="174"/>
      <c r="C159" s="154"/>
      <c r="D159" s="154"/>
      <c r="E159" s="154"/>
      <c r="F159" s="154"/>
      <c r="G159" s="154"/>
      <c r="H159" s="154"/>
      <c r="I159" s="154"/>
      <c r="J159" s="175" t="str">
        <f t="shared" si="2"/>
        <v/>
      </c>
    </row>
    <row r="160" spans="1:10" x14ac:dyDescent="0.3">
      <c r="A160">
        <v>147</v>
      </c>
      <c r="B160" s="174"/>
      <c r="C160" s="154"/>
      <c r="D160" s="154"/>
      <c r="E160" s="154"/>
      <c r="F160" s="154"/>
      <c r="G160" s="154"/>
      <c r="H160" s="154"/>
      <c r="I160" s="154"/>
      <c r="J160" s="175" t="str">
        <f t="shared" si="2"/>
        <v/>
      </c>
    </row>
    <row r="161" spans="1:10" x14ac:dyDescent="0.3">
      <c r="A161">
        <v>148</v>
      </c>
      <c r="B161" s="174"/>
      <c r="C161" s="154"/>
      <c r="D161" s="154"/>
      <c r="E161" s="154"/>
      <c r="F161" s="154"/>
      <c r="G161" s="154"/>
      <c r="H161" s="154"/>
      <c r="I161" s="154"/>
      <c r="J161" s="175" t="str">
        <f t="shared" si="2"/>
        <v/>
      </c>
    </row>
    <row r="162" spans="1:10" x14ac:dyDescent="0.3">
      <c r="A162">
        <v>149</v>
      </c>
      <c r="B162" s="174"/>
      <c r="C162" s="154"/>
      <c r="D162" s="154"/>
      <c r="E162" s="154"/>
      <c r="F162" s="154"/>
      <c r="G162" s="154"/>
      <c r="H162" s="154"/>
      <c r="I162" s="154"/>
      <c r="J162" s="175" t="str">
        <f t="shared" si="2"/>
        <v/>
      </c>
    </row>
    <row r="163" spans="1:10" x14ac:dyDescent="0.3">
      <c r="A163">
        <v>150</v>
      </c>
      <c r="B163" s="174"/>
      <c r="C163" s="154"/>
      <c r="D163" s="154"/>
      <c r="E163" s="154"/>
      <c r="F163" s="154"/>
      <c r="G163" s="154"/>
      <c r="H163" s="154"/>
      <c r="I163" s="154"/>
      <c r="J163" s="175" t="str">
        <f t="shared" si="2"/>
        <v/>
      </c>
    </row>
    <row r="164" spans="1:10" x14ac:dyDescent="0.3">
      <c r="A164">
        <v>151</v>
      </c>
      <c r="B164" s="174"/>
      <c r="C164" s="154"/>
      <c r="D164" s="154"/>
      <c r="E164" s="154"/>
      <c r="F164" s="154"/>
      <c r="G164" s="154"/>
      <c r="H164" s="154"/>
      <c r="I164" s="154"/>
      <c r="J164" s="175" t="str">
        <f t="shared" si="2"/>
        <v/>
      </c>
    </row>
    <row r="165" spans="1:10" x14ac:dyDescent="0.3">
      <c r="A165">
        <v>152</v>
      </c>
      <c r="B165" s="174"/>
      <c r="C165" s="154"/>
      <c r="D165" s="154"/>
      <c r="E165" s="154"/>
      <c r="F165" s="154"/>
      <c r="G165" s="154"/>
      <c r="H165" s="154"/>
      <c r="I165" s="154"/>
      <c r="J165" s="175" t="str">
        <f t="shared" si="2"/>
        <v/>
      </c>
    </row>
    <row r="166" spans="1:10" x14ac:dyDescent="0.3">
      <c r="A166">
        <v>153</v>
      </c>
      <c r="B166" s="174"/>
      <c r="C166" s="154"/>
      <c r="D166" s="154"/>
      <c r="E166" s="154"/>
      <c r="F166" s="154"/>
      <c r="G166" s="154"/>
      <c r="H166" s="154"/>
      <c r="I166" s="154"/>
      <c r="J166" s="175" t="str">
        <f t="shared" si="2"/>
        <v/>
      </c>
    </row>
    <row r="167" spans="1:10" x14ac:dyDescent="0.3">
      <c r="A167">
        <v>154</v>
      </c>
      <c r="B167" s="174"/>
      <c r="C167" s="154"/>
      <c r="D167" s="154"/>
      <c r="E167" s="154"/>
      <c r="F167" s="154"/>
      <c r="G167" s="154"/>
      <c r="H167" s="154"/>
      <c r="I167" s="154"/>
      <c r="J167" s="175" t="str">
        <f t="shared" si="2"/>
        <v/>
      </c>
    </row>
    <row r="168" spans="1:10" x14ac:dyDescent="0.3">
      <c r="A168">
        <v>155</v>
      </c>
      <c r="B168" s="174"/>
      <c r="C168" s="154"/>
      <c r="D168" s="154"/>
      <c r="E168" s="154"/>
      <c r="F168" s="154"/>
      <c r="G168" s="154"/>
      <c r="H168" s="154"/>
      <c r="I168" s="154"/>
      <c r="J168" s="175" t="str">
        <f t="shared" si="2"/>
        <v/>
      </c>
    </row>
    <row r="169" spans="1:10" x14ac:dyDescent="0.3">
      <c r="A169">
        <v>156</v>
      </c>
      <c r="B169" s="174"/>
      <c r="C169" s="154"/>
      <c r="D169" s="154"/>
      <c r="E169" s="154"/>
      <c r="F169" s="154"/>
      <c r="G169" s="154"/>
      <c r="H169" s="154"/>
      <c r="I169" s="154"/>
      <c r="J169" s="175" t="str">
        <f t="shared" si="2"/>
        <v/>
      </c>
    </row>
    <row r="170" spans="1:10" x14ac:dyDescent="0.3">
      <c r="A170">
        <v>157</v>
      </c>
      <c r="B170" s="174"/>
      <c r="C170" s="154"/>
      <c r="D170" s="154"/>
      <c r="E170" s="154"/>
      <c r="F170" s="154"/>
      <c r="G170" s="154"/>
      <c r="H170" s="154"/>
      <c r="I170" s="154"/>
      <c r="J170" s="175" t="str">
        <f t="shared" si="2"/>
        <v/>
      </c>
    </row>
    <row r="171" spans="1:10" x14ac:dyDescent="0.3">
      <c r="A171">
        <v>158</v>
      </c>
      <c r="B171" s="174"/>
      <c r="C171" s="154"/>
      <c r="D171" s="154"/>
      <c r="E171" s="154"/>
      <c r="F171" s="154"/>
      <c r="G171" s="154"/>
      <c r="H171" s="154"/>
      <c r="I171" s="154"/>
      <c r="J171" s="175" t="str">
        <f t="shared" si="2"/>
        <v/>
      </c>
    </row>
    <row r="172" spans="1:10" x14ac:dyDescent="0.3">
      <c r="A172">
        <v>159</v>
      </c>
      <c r="B172" s="174"/>
      <c r="C172" s="154"/>
      <c r="D172" s="154"/>
      <c r="E172" s="154"/>
      <c r="F172" s="154"/>
      <c r="G172" s="154"/>
      <c r="H172" s="154"/>
      <c r="I172" s="154"/>
      <c r="J172" s="175" t="str">
        <f t="shared" si="2"/>
        <v/>
      </c>
    </row>
    <row r="173" spans="1:10" x14ac:dyDescent="0.3">
      <c r="A173">
        <v>160</v>
      </c>
      <c r="B173" s="174"/>
      <c r="C173" s="154"/>
      <c r="D173" s="154"/>
      <c r="E173" s="154"/>
      <c r="F173" s="154"/>
      <c r="G173" s="154"/>
      <c r="H173" s="154"/>
      <c r="I173" s="154"/>
      <c r="J173" s="175" t="str">
        <f t="shared" si="2"/>
        <v/>
      </c>
    </row>
    <row r="174" spans="1:10" x14ac:dyDescent="0.3">
      <c r="A174">
        <v>161</v>
      </c>
      <c r="B174" s="174"/>
      <c r="C174" s="154"/>
      <c r="D174" s="154"/>
      <c r="E174" s="154"/>
      <c r="F174" s="154"/>
      <c r="G174" s="154"/>
      <c r="H174" s="154"/>
      <c r="I174" s="154"/>
      <c r="J174" s="175" t="str">
        <f t="shared" si="2"/>
        <v/>
      </c>
    </row>
    <row r="175" spans="1:10" x14ac:dyDescent="0.3">
      <c r="A175">
        <v>162</v>
      </c>
      <c r="B175" s="174"/>
      <c r="C175" s="154"/>
      <c r="D175" s="154"/>
      <c r="E175" s="154"/>
      <c r="F175" s="154"/>
      <c r="G175" s="154"/>
      <c r="H175" s="154"/>
      <c r="I175" s="154"/>
      <c r="J175" s="175" t="str">
        <f t="shared" si="2"/>
        <v/>
      </c>
    </row>
    <row r="176" spans="1:10" x14ac:dyDescent="0.3">
      <c r="A176">
        <v>163</v>
      </c>
      <c r="B176" s="174"/>
      <c r="C176" s="154"/>
      <c r="D176" s="154"/>
      <c r="E176" s="154"/>
      <c r="F176" s="154"/>
      <c r="G176" s="154"/>
      <c r="H176" s="154"/>
      <c r="I176" s="154"/>
      <c r="J176" s="175" t="str">
        <f t="shared" si="2"/>
        <v/>
      </c>
    </row>
    <row r="177" spans="1:10" x14ac:dyDescent="0.3">
      <c r="A177">
        <v>164</v>
      </c>
      <c r="B177" s="174"/>
      <c r="C177" s="154"/>
      <c r="D177" s="154"/>
      <c r="E177" s="154"/>
      <c r="F177" s="154"/>
      <c r="G177" s="154"/>
      <c r="H177" s="154"/>
      <c r="I177" s="154"/>
      <c r="J177" s="175" t="str">
        <f t="shared" si="2"/>
        <v/>
      </c>
    </row>
    <row r="178" spans="1:10" x14ac:dyDescent="0.3">
      <c r="A178">
        <v>165</v>
      </c>
      <c r="B178" s="174"/>
      <c r="C178" s="154"/>
      <c r="D178" s="154"/>
      <c r="E178" s="154"/>
      <c r="F178" s="154"/>
      <c r="G178" s="154"/>
      <c r="H178" s="154"/>
      <c r="I178" s="154"/>
      <c r="J178" s="175" t="str">
        <f t="shared" si="2"/>
        <v/>
      </c>
    </row>
    <row r="179" spans="1:10" x14ac:dyDescent="0.3">
      <c r="A179">
        <v>166</v>
      </c>
      <c r="B179" s="174"/>
      <c r="C179" s="154"/>
      <c r="D179" s="154"/>
      <c r="E179" s="154"/>
      <c r="F179" s="154"/>
      <c r="G179" s="154"/>
      <c r="H179" s="154"/>
      <c r="I179" s="154"/>
      <c r="J179" s="175" t="str">
        <f t="shared" si="2"/>
        <v/>
      </c>
    </row>
    <row r="180" spans="1:10" x14ac:dyDescent="0.3">
      <c r="A180">
        <v>167</v>
      </c>
      <c r="B180" s="174"/>
      <c r="C180" s="154"/>
      <c r="D180" s="154"/>
      <c r="E180" s="154"/>
      <c r="F180" s="154"/>
      <c r="G180" s="154"/>
      <c r="H180" s="154"/>
      <c r="I180" s="154"/>
      <c r="J180" s="175" t="str">
        <f t="shared" si="2"/>
        <v/>
      </c>
    </row>
    <row r="181" spans="1:10" x14ac:dyDescent="0.3">
      <c r="A181">
        <v>168</v>
      </c>
      <c r="B181" s="174"/>
      <c r="C181" s="154"/>
      <c r="D181" s="154"/>
      <c r="E181" s="154"/>
      <c r="F181" s="154"/>
      <c r="G181" s="154"/>
      <c r="H181" s="154"/>
      <c r="I181" s="154"/>
      <c r="J181" s="175" t="str">
        <f t="shared" si="2"/>
        <v/>
      </c>
    </row>
    <row r="182" spans="1:10" x14ac:dyDescent="0.3">
      <c r="A182">
        <v>169</v>
      </c>
      <c r="B182" s="174"/>
      <c r="C182" s="154"/>
      <c r="D182" s="154"/>
      <c r="E182" s="154"/>
      <c r="F182" s="154"/>
      <c r="G182" s="154"/>
      <c r="H182" s="154"/>
      <c r="I182" s="154"/>
      <c r="J182" s="175" t="str">
        <f t="shared" si="2"/>
        <v/>
      </c>
    </row>
    <row r="183" spans="1:10" x14ac:dyDescent="0.3">
      <c r="A183">
        <v>170</v>
      </c>
      <c r="B183" s="174"/>
      <c r="C183" s="154"/>
      <c r="D183" s="154"/>
      <c r="E183" s="154"/>
      <c r="F183" s="154"/>
      <c r="G183" s="154"/>
      <c r="H183" s="154"/>
      <c r="I183" s="154"/>
      <c r="J183" s="175" t="str">
        <f t="shared" si="2"/>
        <v/>
      </c>
    </row>
    <row r="184" spans="1:10" x14ac:dyDescent="0.3">
      <c r="A184">
        <v>171</v>
      </c>
      <c r="B184" s="174"/>
      <c r="C184" s="154"/>
      <c r="D184" s="154"/>
      <c r="E184" s="154"/>
      <c r="F184" s="154"/>
      <c r="G184" s="154"/>
      <c r="H184" s="154"/>
      <c r="I184" s="154"/>
      <c r="J184" s="175" t="str">
        <f t="shared" si="2"/>
        <v/>
      </c>
    </row>
    <row r="185" spans="1:10" x14ac:dyDescent="0.3">
      <c r="A185">
        <v>172</v>
      </c>
      <c r="B185" s="174"/>
      <c r="C185" s="154"/>
      <c r="D185" s="154"/>
      <c r="E185" s="154"/>
      <c r="F185" s="154"/>
      <c r="G185" s="154"/>
      <c r="H185" s="154"/>
      <c r="I185" s="154"/>
      <c r="J185" s="175" t="str">
        <f t="shared" si="2"/>
        <v/>
      </c>
    </row>
    <row r="186" spans="1:10" x14ac:dyDescent="0.3">
      <c r="A186">
        <v>173</v>
      </c>
      <c r="B186" s="174"/>
      <c r="C186" s="154"/>
      <c r="D186" s="154"/>
      <c r="E186" s="154"/>
      <c r="F186" s="154"/>
      <c r="G186" s="154"/>
      <c r="H186" s="154"/>
      <c r="I186" s="154"/>
      <c r="J186" s="175" t="str">
        <f t="shared" si="2"/>
        <v/>
      </c>
    </row>
    <row r="187" spans="1:10" x14ac:dyDescent="0.3">
      <c r="A187">
        <v>174</v>
      </c>
      <c r="B187" s="174"/>
      <c r="C187" s="154"/>
      <c r="D187" s="154"/>
      <c r="E187" s="154"/>
      <c r="F187" s="154"/>
      <c r="G187" s="154"/>
      <c r="H187" s="154"/>
      <c r="I187" s="154"/>
      <c r="J187" s="175" t="str">
        <f t="shared" si="2"/>
        <v/>
      </c>
    </row>
    <row r="188" spans="1:10" x14ac:dyDescent="0.3">
      <c r="A188">
        <v>175</v>
      </c>
      <c r="B188" s="174"/>
      <c r="C188" s="154"/>
      <c r="D188" s="154"/>
      <c r="E188" s="154"/>
      <c r="F188" s="154"/>
      <c r="G188" s="154"/>
      <c r="H188" s="154"/>
      <c r="I188" s="154"/>
      <c r="J188" s="175" t="str">
        <f t="shared" si="2"/>
        <v/>
      </c>
    </row>
    <row r="189" spans="1:10" x14ac:dyDescent="0.3">
      <c r="A189">
        <v>176</v>
      </c>
      <c r="B189" s="174"/>
      <c r="C189" s="154"/>
      <c r="D189" s="154"/>
      <c r="E189" s="154"/>
      <c r="F189" s="154"/>
      <c r="G189" s="154"/>
      <c r="H189" s="154"/>
      <c r="I189" s="154"/>
      <c r="J189" s="175" t="str">
        <f t="shared" si="2"/>
        <v/>
      </c>
    </row>
    <row r="190" spans="1:10" x14ac:dyDescent="0.3">
      <c r="A190">
        <v>177</v>
      </c>
      <c r="B190" s="174"/>
      <c r="C190" s="154"/>
      <c r="D190" s="154"/>
      <c r="E190" s="154"/>
      <c r="F190" s="154"/>
      <c r="G190" s="154"/>
      <c r="H190" s="154"/>
      <c r="I190" s="154"/>
      <c r="J190" s="175" t="str">
        <f t="shared" si="2"/>
        <v/>
      </c>
    </row>
    <row r="191" spans="1:10" x14ac:dyDescent="0.3">
      <c r="A191">
        <v>178</v>
      </c>
      <c r="B191" s="174"/>
      <c r="C191" s="154"/>
      <c r="D191" s="154"/>
      <c r="E191" s="154"/>
      <c r="F191" s="154"/>
      <c r="G191" s="154"/>
      <c r="H191" s="154"/>
      <c r="I191" s="154"/>
      <c r="J191" s="175" t="str">
        <f t="shared" si="2"/>
        <v/>
      </c>
    </row>
    <row r="192" spans="1:10" x14ac:dyDescent="0.3">
      <c r="A192">
        <v>179</v>
      </c>
      <c r="B192" s="174"/>
      <c r="C192" s="154"/>
      <c r="D192" s="154"/>
      <c r="E192" s="154"/>
      <c r="F192" s="154"/>
      <c r="G192" s="154"/>
      <c r="H192" s="154"/>
      <c r="I192" s="154"/>
      <c r="J192" s="175" t="str">
        <f t="shared" si="2"/>
        <v/>
      </c>
    </row>
    <row r="193" spans="1:10" x14ac:dyDescent="0.3">
      <c r="A193">
        <v>180</v>
      </c>
      <c r="B193" s="174"/>
      <c r="C193" s="154"/>
      <c r="D193" s="154"/>
      <c r="E193" s="154"/>
      <c r="F193" s="154"/>
      <c r="G193" s="154"/>
      <c r="H193" s="154"/>
      <c r="I193" s="154"/>
      <c r="J193" s="175" t="str">
        <f t="shared" si="2"/>
        <v/>
      </c>
    </row>
    <row r="194" spans="1:10" x14ac:dyDescent="0.3">
      <c r="A194">
        <v>181</v>
      </c>
      <c r="B194" s="174"/>
      <c r="C194" s="154"/>
      <c r="D194" s="154"/>
      <c r="E194" s="154"/>
      <c r="F194" s="154"/>
      <c r="G194" s="154"/>
      <c r="H194" s="154"/>
      <c r="I194" s="154"/>
      <c r="J194" s="175" t="str">
        <f t="shared" si="2"/>
        <v/>
      </c>
    </row>
    <row r="195" spans="1:10" x14ac:dyDescent="0.3">
      <c r="A195">
        <v>182</v>
      </c>
      <c r="B195" s="174"/>
      <c r="C195" s="154"/>
      <c r="D195" s="154"/>
      <c r="E195" s="154"/>
      <c r="F195" s="154"/>
      <c r="G195" s="154"/>
      <c r="H195" s="154"/>
      <c r="I195" s="154"/>
      <c r="J195" s="175" t="str">
        <f t="shared" si="2"/>
        <v/>
      </c>
    </row>
    <row r="196" spans="1:10" x14ac:dyDescent="0.3">
      <c r="A196">
        <v>183</v>
      </c>
      <c r="B196" s="174"/>
      <c r="C196" s="154"/>
      <c r="D196" s="154"/>
      <c r="E196" s="154"/>
      <c r="F196" s="154"/>
      <c r="G196" s="154"/>
      <c r="H196" s="154"/>
      <c r="I196" s="154"/>
      <c r="J196" s="175" t="str">
        <f t="shared" si="2"/>
        <v/>
      </c>
    </row>
    <row r="197" spans="1:10" x14ac:dyDescent="0.3">
      <c r="A197">
        <v>184</v>
      </c>
      <c r="B197" s="174"/>
      <c r="C197" s="154"/>
      <c r="D197" s="154"/>
      <c r="E197" s="154"/>
      <c r="F197" s="154"/>
      <c r="G197" s="154"/>
      <c r="H197" s="154"/>
      <c r="I197" s="154"/>
      <c r="J197" s="175" t="str">
        <f t="shared" si="2"/>
        <v/>
      </c>
    </row>
    <row r="198" spans="1:10" x14ac:dyDescent="0.3">
      <c r="A198">
        <v>185</v>
      </c>
      <c r="B198" s="174"/>
      <c r="C198" s="154"/>
      <c r="D198" s="154"/>
      <c r="E198" s="154"/>
      <c r="F198" s="154"/>
      <c r="G198" s="154"/>
      <c r="H198" s="154"/>
      <c r="I198" s="154"/>
      <c r="J198" s="175" t="str">
        <f t="shared" si="2"/>
        <v/>
      </c>
    </row>
    <row r="199" spans="1:10" x14ac:dyDescent="0.3">
      <c r="A199">
        <v>186</v>
      </c>
      <c r="B199" s="174"/>
      <c r="C199" s="154"/>
      <c r="D199" s="154"/>
      <c r="E199" s="154"/>
      <c r="F199" s="154"/>
      <c r="G199" s="154"/>
      <c r="H199" s="154"/>
      <c r="I199" s="154"/>
      <c r="J199" s="175" t="str">
        <f t="shared" si="2"/>
        <v/>
      </c>
    </row>
    <row r="200" spans="1:10" x14ac:dyDescent="0.3">
      <c r="A200">
        <v>187</v>
      </c>
      <c r="B200" s="174"/>
      <c r="C200" s="154"/>
      <c r="D200" s="154"/>
      <c r="E200" s="154"/>
      <c r="F200" s="154"/>
      <c r="G200" s="154"/>
      <c r="H200" s="154"/>
      <c r="I200" s="154"/>
      <c r="J200" s="175" t="str">
        <f t="shared" si="2"/>
        <v/>
      </c>
    </row>
    <row r="201" spans="1:10" x14ac:dyDescent="0.3">
      <c r="A201">
        <v>188</v>
      </c>
      <c r="B201" s="174"/>
      <c r="C201" s="154"/>
      <c r="D201" s="154"/>
      <c r="E201" s="154"/>
      <c r="F201" s="154"/>
      <c r="G201" s="154"/>
      <c r="H201" s="154"/>
      <c r="I201" s="154"/>
      <c r="J201" s="175" t="str">
        <f t="shared" si="2"/>
        <v/>
      </c>
    </row>
    <row r="202" spans="1:10" x14ac:dyDescent="0.3">
      <c r="A202">
        <v>189</v>
      </c>
      <c r="B202" s="174"/>
      <c r="C202" s="154"/>
      <c r="D202" s="154"/>
      <c r="E202" s="154"/>
      <c r="F202" s="154"/>
      <c r="G202" s="154"/>
      <c r="H202" s="154"/>
      <c r="I202" s="154"/>
      <c r="J202" s="175" t="str">
        <f t="shared" si="2"/>
        <v/>
      </c>
    </row>
    <row r="203" spans="1:10" x14ac:dyDescent="0.3">
      <c r="A203">
        <v>190</v>
      </c>
      <c r="B203" s="174"/>
      <c r="C203" s="154"/>
      <c r="D203" s="154"/>
      <c r="E203" s="154"/>
      <c r="F203" s="154"/>
      <c r="G203" s="154"/>
      <c r="H203" s="154"/>
      <c r="I203" s="154"/>
      <c r="J203" s="175" t="str">
        <f t="shared" si="2"/>
        <v/>
      </c>
    </row>
    <row r="204" spans="1:10" x14ac:dyDescent="0.3">
      <c r="A204">
        <v>191</v>
      </c>
      <c r="B204" s="174"/>
      <c r="C204" s="154"/>
      <c r="D204" s="154"/>
      <c r="E204" s="154"/>
      <c r="F204" s="154"/>
      <c r="G204" s="154"/>
      <c r="H204" s="154"/>
      <c r="I204" s="154"/>
      <c r="J204" s="175" t="str">
        <f t="shared" si="2"/>
        <v/>
      </c>
    </row>
    <row r="205" spans="1:10" x14ac:dyDescent="0.3">
      <c r="A205">
        <v>192</v>
      </c>
      <c r="B205" s="174"/>
      <c r="C205" s="154"/>
      <c r="D205" s="154"/>
      <c r="E205" s="154"/>
      <c r="F205" s="154"/>
      <c r="G205" s="154"/>
      <c r="H205" s="154"/>
      <c r="I205" s="154"/>
      <c r="J205" s="175" t="str">
        <f t="shared" si="2"/>
        <v/>
      </c>
    </row>
    <row r="206" spans="1:10" x14ac:dyDescent="0.3">
      <c r="A206">
        <v>193</v>
      </c>
      <c r="B206" s="174"/>
      <c r="C206" s="154"/>
      <c r="D206" s="154"/>
      <c r="E206" s="154"/>
      <c r="F206" s="154"/>
      <c r="G206" s="154"/>
      <c r="H206" s="154"/>
      <c r="I206" s="154"/>
      <c r="J206" s="175" t="str">
        <f t="shared" si="2"/>
        <v/>
      </c>
    </row>
    <row r="207" spans="1:10" x14ac:dyDescent="0.3">
      <c r="A207">
        <v>194</v>
      </c>
      <c r="B207" s="174"/>
      <c r="C207" s="154"/>
      <c r="D207" s="154"/>
      <c r="E207" s="154"/>
      <c r="F207" s="154"/>
      <c r="G207" s="154"/>
      <c r="H207" s="154"/>
      <c r="I207" s="154"/>
      <c r="J207" s="175" t="str">
        <f t="shared" ref="J207:J270" si="3">IF(B207&lt;&gt;"",SUM(C207:I207),"")</f>
        <v/>
      </c>
    </row>
    <row r="208" spans="1:10" x14ac:dyDescent="0.3">
      <c r="A208">
        <v>195</v>
      </c>
      <c r="B208" s="174"/>
      <c r="C208" s="154"/>
      <c r="D208" s="154"/>
      <c r="E208" s="154"/>
      <c r="F208" s="154"/>
      <c r="G208" s="154"/>
      <c r="H208" s="154"/>
      <c r="I208" s="154"/>
      <c r="J208" s="175" t="str">
        <f t="shared" si="3"/>
        <v/>
      </c>
    </row>
    <row r="209" spans="1:10" x14ac:dyDescent="0.3">
      <c r="A209">
        <v>196</v>
      </c>
      <c r="B209" s="174"/>
      <c r="C209" s="154"/>
      <c r="D209" s="154"/>
      <c r="E209" s="154"/>
      <c r="F209" s="154"/>
      <c r="G209" s="154"/>
      <c r="H209" s="154"/>
      <c r="I209" s="154"/>
      <c r="J209" s="175" t="str">
        <f t="shared" si="3"/>
        <v/>
      </c>
    </row>
    <row r="210" spans="1:10" x14ac:dyDescent="0.3">
      <c r="A210">
        <v>197</v>
      </c>
      <c r="B210" s="174"/>
      <c r="C210" s="154"/>
      <c r="D210" s="154"/>
      <c r="E210" s="154"/>
      <c r="F210" s="154"/>
      <c r="G210" s="154"/>
      <c r="H210" s="154"/>
      <c r="I210" s="154"/>
      <c r="J210" s="175" t="str">
        <f t="shared" si="3"/>
        <v/>
      </c>
    </row>
    <row r="211" spans="1:10" x14ac:dyDescent="0.3">
      <c r="A211">
        <v>198</v>
      </c>
      <c r="B211" s="174"/>
      <c r="C211" s="154"/>
      <c r="D211" s="154"/>
      <c r="E211" s="154"/>
      <c r="F211" s="154"/>
      <c r="G211" s="154"/>
      <c r="H211" s="154"/>
      <c r="I211" s="154"/>
      <c r="J211" s="175" t="str">
        <f t="shared" si="3"/>
        <v/>
      </c>
    </row>
    <row r="212" spans="1:10" x14ac:dyDescent="0.3">
      <c r="A212">
        <v>199</v>
      </c>
      <c r="B212" s="174"/>
      <c r="C212" s="154"/>
      <c r="D212" s="154"/>
      <c r="E212" s="154"/>
      <c r="F212" s="154"/>
      <c r="G212" s="154"/>
      <c r="H212" s="154"/>
      <c r="I212" s="154"/>
      <c r="J212" s="175" t="str">
        <f t="shared" si="3"/>
        <v/>
      </c>
    </row>
    <row r="213" spans="1:10" x14ac:dyDescent="0.3">
      <c r="A213">
        <v>200</v>
      </c>
      <c r="B213" s="174"/>
      <c r="C213" s="154"/>
      <c r="D213" s="154"/>
      <c r="E213" s="154"/>
      <c r="F213" s="154"/>
      <c r="G213" s="154"/>
      <c r="H213" s="154"/>
      <c r="I213" s="154"/>
      <c r="J213" s="175" t="str">
        <f t="shared" si="3"/>
        <v/>
      </c>
    </row>
    <row r="214" spans="1:10" x14ac:dyDescent="0.3">
      <c r="A214">
        <v>201</v>
      </c>
      <c r="B214" s="174"/>
      <c r="C214" s="154"/>
      <c r="D214" s="154"/>
      <c r="E214" s="154"/>
      <c r="F214" s="154"/>
      <c r="G214" s="154"/>
      <c r="H214" s="154"/>
      <c r="I214" s="154"/>
      <c r="J214" s="175" t="str">
        <f t="shared" si="3"/>
        <v/>
      </c>
    </row>
    <row r="215" spans="1:10" x14ac:dyDescent="0.3">
      <c r="A215">
        <v>202</v>
      </c>
      <c r="B215" s="174"/>
      <c r="C215" s="154"/>
      <c r="D215" s="154"/>
      <c r="E215" s="154"/>
      <c r="F215" s="154"/>
      <c r="G215" s="154"/>
      <c r="H215" s="154"/>
      <c r="I215" s="154"/>
      <c r="J215" s="175" t="str">
        <f t="shared" si="3"/>
        <v/>
      </c>
    </row>
    <row r="216" spans="1:10" x14ac:dyDescent="0.3">
      <c r="A216">
        <v>203</v>
      </c>
      <c r="B216" s="174"/>
      <c r="C216" s="154"/>
      <c r="D216" s="154"/>
      <c r="E216" s="154"/>
      <c r="F216" s="154"/>
      <c r="G216" s="154"/>
      <c r="H216" s="154"/>
      <c r="I216" s="154"/>
      <c r="J216" s="175" t="str">
        <f t="shared" si="3"/>
        <v/>
      </c>
    </row>
    <row r="217" spans="1:10" x14ac:dyDescent="0.3">
      <c r="A217">
        <v>204</v>
      </c>
      <c r="B217" s="174"/>
      <c r="C217" s="154"/>
      <c r="D217" s="154"/>
      <c r="E217" s="154"/>
      <c r="F217" s="154"/>
      <c r="G217" s="154"/>
      <c r="H217" s="154"/>
      <c r="I217" s="154"/>
      <c r="J217" s="175" t="str">
        <f t="shared" si="3"/>
        <v/>
      </c>
    </row>
    <row r="218" spans="1:10" x14ac:dyDescent="0.3">
      <c r="A218">
        <v>205</v>
      </c>
      <c r="B218" s="174"/>
      <c r="C218" s="154"/>
      <c r="D218" s="154"/>
      <c r="E218" s="154"/>
      <c r="F218" s="154"/>
      <c r="G218" s="154"/>
      <c r="H218" s="154"/>
      <c r="I218" s="154"/>
      <c r="J218" s="175" t="str">
        <f t="shared" si="3"/>
        <v/>
      </c>
    </row>
    <row r="219" spans="1:10" x14ac:dyDescent="0.3">
      <c r="A219">
        <v>206</v>
      </c>
      <c r="B219" s="174"/>
      <c r="C219" s="154"/>
      <c r="D219" s="154"/>
      <c r="E219" s="154"/>
      <c r="F219" s="154"/>
      <c r="G219" s="154"/>
      <c r="H219" s="154"/>
      <c r="I219" s="154"/>
      <c r="J219" s="175" t="str">
        <f t="shared" si="3"/>
        <v/>
      </c>
    </row>
    <row r="220" spans="1:10" x14ac:dyDescent="0.3">
      <c r="A220">
        <v>207</v>
      </c>
      <c r="B220" s="174"/>
      <c r="C220" s="154"/>
      <c r="D220" s="154"/>
      <c r="E220" s="154"/>
      <c r="F220" s="154"/>
      <c r="G220" s="154"/>
      <c r="H220" s="154"/>
      <c r="I220" s="154"/>
      <c r="J220" s="175" t="str">
        <f t="shared" si="3"/>
        <v/>
      </c>
    </row>
    <row r="221" spans="1:10" x14ac:dyDescent="0.3">
      <c r="A221">
        <v>208</v>
      </c>
      <c r="B221" s="174"/>
      <c r="C221" s="154"/>
      <c r="D221" s="154"/>
      <c r="E221" s="154"/>
      <c r="F221" s="154"/>
      <c r="G221" s="154"/>
      <c r="H221" s="154"/>
      <c r="I221" s="154"/>
      <c r="J221" s="175" t="str">
        <f t="shared" si="3"/>
        <v/>
      </c>
    </row>
    <row r="222" spans="1:10" x14ac:dyDescent="0.3">
      <c r="A222">
        <v>209</v>
      </c>
      <c r="B222" s="174"/>
      <c r="C222" s="154"/>
      <c r="D222" s="154"/>
      <c r="E222" s="154"/>
      <c r="F222" s="154"/>
      <c r="G222" s="154"/>
      <c r="H222" s="154"/>
      <c r="I222" s="154"/>
      <c r="J222" s="175" t="str">
        <f t="shared" si="3"/>
        <v/>
      </c>
    </row>
    <row r="223" spans="1:10" x14ac:dyDescent="0.3">
      <c r="A223">
        <v>210</v>
      </c>
      <c r="B223" s="174"/>
      <c r="C223" s="154"/>
      <c r="D223" s="154"/>
      <c r="E223" s="154"/>
      <c r="F223" s="154"/>
      <c r="G223" s="154"/>
      <c r="H223" s="154"/>
      <c r="I223" s="154"/>
      <c r="J223" s="175" t="str">
        <f t="shared" si="3"/>
        <v/>
      </c>
    </row>
    <row r="224" spans="1:10" x14ac:dyDescent="0.3">
      <c r="A224">
        <v>211</v>
      </c>
      <c r="B224" s="174"/>
      <c r="C224" s="154"/>
      <c r="D224" s="154"/>
      <c r="E224" s="154"/>
      <c r="F224" s="154"/>
      <c r="G224" s="154"/>
      <c r="H224" s="154"/>
      <c r="I224" s="154"/>
      <c r="J224" s="175" t="str">
        <f t="shared" si="3"/>
        <v/>
      </c>
    </row>
    <row r="225" spans="1:10" x14ac:dyDescent="0.3">
      <c r="A225">
        <v>212</v>
      </c>
      <c r="B225" s="174"/>
      <c r="C225" s="154"/>
      <c r="D225" s="154"/>
      <c r="E225" s="154"/>
      <c r="F225" s="154"/>
      <c r="G225" s="154"/>
      <c r="H225" s="154"/>
      <c r="I225" s="154"/>
      <c r="J225" s="175" t="str">
        <f t="shared" si="3"/>
        <v/>
      </c>
    </row>
    <row r="226" spans="1:10" x14ac:dyDescent="0.3">
      <c r="A226">
        <v>213</v>
      </c>
      <c r="B226" s="174"/>
      <c r="C226" s="154"/>
      <c r="D226" s="154"/>
      <c r="E226" s="154"/>
      <c r="F226" s="154"/>
      <c r="G226" s="154"/>
      <c r="H226" s="154"/>
      <c r="I226" s="154"/>
      <c r="J226" s="175" t="str">
        <f t="shared" si="3"/>
        <v/>
      </c>
    </row>
    <row r="227" spans="1:10" x14ac:dyDescent="0.3">
      <c r="A227">
        <v>214</v>
      </c>
      <c r="B227" s="174"/>
      <c r="C227" s="154"/>
      <c r="D227" s="154"/>
      <c r="E227" s="154"/>
      <c r="F227" s="154"/>
      <c r="G227" s="154"/>
      <c r="H227" s="154"/>
      <c r="I227" s="154"/>
      <c r="J227" s="175" t="str">
        <f t="shared" si="3"/>
        <v/>
      </c>
    </row>
    <row r="228" spans="1:10" x14ac:dyDescent="0.3">
      <c r="A228">
        <v>215</v>
      </c>
      <c r="B228" s="174"/>
      <c r="C228" s="154"/>
      <c r="D228" s="154"/>
      <c r="E228" s="154"/>
      <c r="F228" s="154"/>
      <c r="G228" s="154"/>
      <c r="H228" s="154"/>
      <c r="I228" s="154"/>
      <c r="J228" s="175" t="str">
        <f t="shared" si="3"/>
        <v/>
      </c>
    </row>
    <row r="229" spans="1:10" x14ac:dyDescent="0.3">
      <c r="A229">
        <v>216</v>
      </c>
      <c r="B229" s="174"/>
      <c r="C229" s="154"/>
      <c r="D229" s="154"/>
      <c r="E229" s="154"/>
      <c r="F229" s="154"/>
      <c r="G229" s="154"/>
      <c r="H229" s="154"/>
      <c r="I229" s="154"/>
      <c r="J229" s="175" t="str">
        <f t="shared" si="3"/>
        <v/>
      </c>
    </row>
    <row r="230" spans="1:10" x14ac:dyDescent="0.3">
      <c r="A230">
        <v>217</v>
      </c>
      <c r="B230" s="174"/>
      <c r="C230" s="154"/>
      <c r="D230" s="154"/>
      <c r="E230" s="154"/>
      <c r="F230" s="154"/>
      <c r="G230" s="154"/>
      <c r="H230" s="154"/>
      <c r="I230" s="154"/>
      <c r="J230" s="175" t="str">
        <f t="shared" si="3"/>
        <v/>
      </c>
    </row>
    <row r="231" spans="1:10" x14ac:dyDescent="0.3">
      <c r="A231">
        <v>218</v>
      </c>
      <c r="B231" s="174"/>
      <c r="C231" s="154"/>
      <c r="D231" s="154"/>
      <c r="E231" s="154"/>
      <c r="F231" s="154"/>
      <c r="G231" s="154"/>
      <c r="H231" s="154"/>
      <c r="I231" s="154"/>
      <c r="J231" s="175" t="str">
        <f t="shared" si="3"/>
        <v/>
      </c>
    </row>
    <row r="232" spans="1:10" x14ac:dyDescent="0.3">
      <c r="A232">
        <v>219</v>
      </c>
      <c r="B232" s="174"/>
      <c r="C232" s="154"/>
      <c r="D232" s="154"/>
      <c r="E232" s="154"/>
      <c r="F232" s="154"/>
      <c r="G232" s="154"/>
      <c r="H232" s="154"/>
      <c r="I232" s="154"/>
      <c r="J232" s="175" t="str">
        <f t="shared" si="3"/>
        <v/>
      </c>
    </row>
    <row r="233" spans="1:10" x14ac:dyDescent="0.3">
      <c r="A233">
        <v>220</v>
      </c>
      <c r="B233" s="174"/>
      <c r="C233" s="154"/>
      <c r="D233" s="154"/>
      <c r="E233" s="154"/>
      <c r="F233" s="154"/>
      <c r="G233" s="154"/>
      <c r="H233" s="154"/>
      <c r="I233" s="154"/>
      <c r="J233" s="175" t="str">
        <f t="shared" si="3"/>
        <v/>
      </c>
    </row>
    <row r="234" spans="1:10" x14ac:dyDescent="0.3">
      <c r="A234">
        <v>221</v>
      </c>
      <c r="B234" s="174"/>
      <c r="C234" s="154"/>
      <c r="D234" s="154"/>
      <c r="E234" s="154"/>
      <c r="F234" s="154"/>
      <c r="G234" s="154"/>
      <c r="H234" s="154"/>
      <c r="I234" s="154"/>
      <c r="J234" s="175" t="str">
        <f t="shared" si="3"/>
        <v/>
      </c>
    </row>
    <row r="235" spans="1:10" x14ac:dyDescent="0.3">
      <c r="A235">
        <v>222</v>
      </c>
      <c r="B235" s="174"/>
      <c r="C235" s="154"/>
      <c r="D235" s="154"/>
      <c r="E235" s="154"/>
      <c r="F235" s="154"/>
      <c r="G235" s="154"/>
      <c r="H235" s="154"/>
      <c r="I235" s="154"/>
      <c r="J235" s="175" t="str">
        <f t="shared" si="3"/>
        <v/>
      </c>
    </row>
    <row r="236" spans="1:10" x14ac:dyDescent="0.3">
      <c r="A236">
        <v>223</v>
      </c>
      <c r="B236" s="174"/>
      <c r="C236" s="154"/>
      <c r="D236" s="154"/>
      <c r="E236" s="154"/>
      <c r="F236" s="154"/>
      <c r="G236" s="154"/>
      <c r="H236" s="154"/>
      <c r="I236" s="154"/>
      <c r="J236" s="175" t="str">
        <f t="shared" si="3"/>
        <v/>
      </c>
    </row>
    <row r="237" spans="1:10" x14ac:dyDescent="0.3">
      <c r="A237">
        <v>224</v>
      </c>
      <c r="B237" s="174"/>
      <c r="C237" s="154"/>
      <c r="D237" s="154"/>
      <c r="E237" s="154"/>
      <c r="F237" s="154"/>
      <c r="G237" s="154"/>
      <c r="H237" s="154"/>
      <c r="I237" s="154"/>
      <c r="J237" s="175" t="str">
        <f t="shared" si="3"/>
        <v/>
      </c>
    </row>
    <row r="238" spans="1:10" x14ac:dyDescent="0.3">
      <c r="A238">
        <v>225</v>
      </c>
      <c r="B238" s="174"/>
      <c r="C238" s="154"/>
      <c r="D238" s="154"/>
      <c r="E238" s="154"/>
      <c r="F238" s="154"/>
      <c r="G238" s="154"/>
      <c r="H238" s="154"/>
      <c r="I238" s="154"/>
      <c r="J238" s="175" t="str">
        <f t="shared" si="3"/>
        <v/>
      </c>
    </row>
    <row r="239" spans="1:10" x14ac:dyDescent="0.3">
      <c r="A239">
        <v>226</v>
      </c>
      <c r="B239" s="174"/>
      <c r="C239" s="154"/>
      <c r="D239" s="154"/>
      <c r="E239" s="154"/>
      <c r="F239" s="154"/>
      <c r="G239" s="154"/>
      <c r="H239" s="154"/>
      <c r="I239" s="154"/>
      <c r="J239" s="175" t="str">
        <f t="shared" si="3"/>
        <v/>
      </c>
    </row>
    <row r="240" spans="1:10" x14ac:dyDescent="0.3">
      <c r="A240">
        <v>227</v>
      </c>
      <c r="B240" s="174"/>
      <c r="C240" s="154"/>
      <c r="D240" s="154"/>
      <c r="E240" s="154"/>
      <c r="F240" s="154"/>
      <c r="G240" s="154"/>
      <c r="H240" s="154"/>
      <c r="I240" s="154"/>
      <c r="J240" s="175" t="str">
        <f t="shared" si="3"/>
        <v/>
      </c>
    </row>
    <row r="241" spans="1:10" x14ac:dyDescent="0.3">
      <c r="A241">
        <v>228</v>
      </c>
      <c r="B241" s="174"/>
      <c r="C241" s="154"/>
      <c r="D241" s="154"/>
      <c r="E241" s="154"/>
      <c r="F241" s="154"/>
      <c r="G241" s="154"/>
      <c r="H241" s="154"/>
      <c r="I241" s="154"/>
      <c r="J241" s="175" t="str">
        <f t="shared" si="3"/>
        <v/>
      </c>
    </row>
    <row r="242" spans="1:10" x14ac:dyDescent="0.3">
      <c r="A242">
        <v>229</v>
      </c>
      <c r="B242" s="174"/>
      <c r="C242" s="154"/>
      <c r="D242" s="154"/>
      <c r="E242" s="154"/>
      <c r="F242" s="154"/>
      <c r="G242" s="154"/>
      <c r="H242" s="154"/>
      <c r="I242" s="154"/>
      <c r="J242" s="175" t="str">
        <f t="shared" si="3"/>
        <v/>
      </c>
    </row>
    <row r="243" spans="1:10" x14ac:dyDescent="0.3">
      <c r="A243">
        <v>230</v>
      </c>
      <c r="B243" s="174"/>
      <c r="C243" s="154"/>
      <c r="D243" s="154"/>
      <c r="E243" s="154"/>
      <c r="F243" s="154"/>
      <c r="G243" s="154"/>
      <c r="H243" s="154"/>
      <c r="I243" s="154"/>
      <c r="J243" s="175" t="str">
        <f t="shared" si="3"/>
        <v/>
      </c>
    </row>
    <row r="244" spans="1:10" x14ac:dyDescent="0.3">
      <c r="A244">
        <v>231</v>
      </c>
      <c r="B244" s="174"/>
      <c r="C244" s="154"/>
      <c r="D244" s="154"/>
      <c r="E244" s="154"/>
      <c r="F244" s="154"/>
      <c r="G244" s="154"/>
      <c r="H244" s="154"/>
      <c r="I244" s="154"/>
      <c r="J244" s="175" t="str">
        <f t="shared" si="3"/>
        <v/>
      </c>
    </row>
    <row r="245" spans="1:10" x14ac:dyDescent="0.3">
      <c r="A245">
        <v>232</v>
      </c>
      <c r="B245" s="174"/>
      <c r="C245" s="154"/>
      <c r="D245" s="154"/>
      <c r="E245" s="154"/>
      <c r="F245" s="154"/>
      <c r="G245" s="154"/>
      <c r="H245" s="154"/>
      <c r="I245" s="154"/>
      <c r="J245" s="175" t="str">
        <f t="shared" si="3"/>
        <v/>
      </c>
    </row>
    <row r="246" spans="1:10" x14ac:dyDescent="0.3">
      <c r="A246">
        <v>233</v>
      </c>
      <c r="B246" s="174"/>
      <c r="C246" s="154"/>
      <c r="D246" s="154"/>
      <c r="E246" s="154"/>
      <c r="F246" s="154"/>
      <c r="G246" s="154"/>
      <c r="H246" s="154"/>
      <c r="I246" s="154"/>
      <c r="J246" s="175" t="str">
        <f t="shared" si="3"/>
        <v/>
      </c>
    </row>
    <row r="247" spans="1:10" x14ac:dyDescent="0.3">
      <c r="A247">
        <v>234</v>
      </c>
      <c r="B247" s="174"/>
      <c r="C247" s="154"/>
      <c r="D247" s="154"/>
      <c r="E247" s="154"/>
      <c r="F247" s="154"/>
      <c r="G247" s="154"/>
      <c r="H247" s="154"/>
      <c r="I247" s="154"/>
      <c r="J247" s="175" t="str">
        <f t="shared" si="3"/>
        <v/>
      </c>
    </row>
    <row r="248" spans="1:10" x14ac:dyDescent="0.3">
      <c r="A248">
        <v>235</v>
      </c>
      <c r="B248" s="174"/>
      <c r="C248" s="154"/>
      <c r="D248" s="154"/>
      <c r="E248" s="154"/>
      <c r="F248" s="154"/>
      <c r="G248" s="154"/>
      <c r="H248" s="154"/>
      <c r="I248" s="154"/>
      <c r="J248" s="175" t="str">
        <f t="shared" si="3"/>
        <v/>
      </c>
    </row>
    <row r="249" spans="1:10" x14ac:dyDescent="0.3">
      <c r="A249">
        <v>236</v>
      </c>
      <c r="B249" s="174"/>
      <c r="C249" s="154"/>
      <c r="D249" s="154"/>
      <c r="E249" s="154"/>
      <c r="F249" s="154"/>
      <c r="G249" s="154"/>
      <c r="H249" s="154"/>
      <c r="I249" s="154"/>
      <c r="J249" s="175" t="str">
        <f t="shared" si="3"/>
        <v/>
      </c>
    </row>
    <row r="250" spans="1:10" x14ac:dyDescent="0.3">
      <c r="A250">
        <v>237</v>
      </c>
      <c r="B250" s="174"/>
      <c r="C250" s="154"/>
      <c r="D250" s="154"/>
      <c r="E250" s="154"/>
      <c r="F250" s="154"/>
      <c r="G250" s="154"/>
      <c r="H250" s="154"/>
      <c r="I250" s="154"/>
      <c r="J250" s="175" t="str">
        <f t="shared" si="3"/>
        <v/>
      </c>
    </row>
    <row r="251" spans="1:10" x14ac:dyDescent="0.3">
      <c r="A251">
        <v>238</v>
      </c>
      <c r="B251" s="174"/>
      <c r="C251" s="154"/>
      <c r="D251" s="154"/>
      <c r="E251" s="154"/>
      <c r="F251" s="154"/>
      <c r="G251" s="154"/>
      <c r="H251" s="154"/>
      <c r="I251" s="154"/>
      <c r="J251" s="175" t="str">
        <f t="shared" si="3"/>
        <v/>
      </c>
    </row>
    <row r="252" spans="1:10" x14ac:dyDescent="0.3">
      <c r="A252">
        <v>239</v>
      </c>
      <c r="B252" s="174"/>
      <c r="C252" s="154"/>
      <c r="D252" s="154"/>
      <c r="E252" s="154"/>
      <c r="F252" s="154"/>
      <c r="G252" s="154"/>
      <c r="H252" s="154"/>
      <c r="I252" s="154"/>
      <c r="J252" s="175" t="str">
        <f t="shared" si="3"/>
        <v/>
      </c>
    </row>
    <row r="253" spans="1:10" x14ac:dyDescent="0.3">
      <c r="A253">
        <v>240</v>
      </c>
      <c r="B253" s="174"/>
      <c r="C253" s="154"/>
      <c r="D253" s="154"/>
      <c r="E253" s="154"/>
      <c r="F253" s="154"/>
      <c r="G253" s="154"/>
      <c r="H253" s="154"/>
      <c r="I253" s="154"/>
      <c r="J253" s="175" t="str">
        <f t="shared" si="3"/>
        <v/>
      </c>
    </row>
    <row r="254" spans="1:10" x14ac:dyDescent="0.3">
      <c r="A254">
        <v>241</v>
      </c>
      <c r="B254" s="174"/>
      <c r="C254" s="154"/>
      <c r="D254" s="154"/>
      <c r="E254" s="154"/>
      <c r="F254" s="154"/>
      <c r="G254" s="154"/>
      <c r="H254" s="154"/>
      <c r="I254" s="154"/>
      <c r="J254" s="175" t="str">
        <f t="shared" si="3"/>
        <v/>
      </c>
    </row>
    <row r="255" spans="1:10" x14ac:dyDescent="0.3">
      <c r="A255">
        <v>242</v>
      </c>
      <c r="B255" s="174"/>
      <c r="C255" s="154"/>
      <c r="D255" s="154"/>
      <c r="E255" s="154"/>
      <c r="F255" s="154"/>
      <c r="G255" s="154"/>
      <c r="H255" s="154"/>
      <c r="I255" s="154"/>
      <c r="J255" s="175" t="str">
        <f t="shared" si="3"/>
        <v/>
      </c>
    </row>
    <row r="256" spans="1:10" x14ac:dyDescent="0.3">
      <c r="A256">
        <v>243</v>
      </c>
      <c r="B256" s="174"/>
      <c r="C256" s="154"/>
      <c r="D256" s="154"/>
      <c r="E256" s="154"/>
      <c r="F256" s="154"/>
      <c r="G256" s="154"/>
      <c r="H256" s="154"/>
      <c r="I256" s="154"/>
      <c r="J256" s="175" t="str">
        <f t="shared" si="3"/>
        <v/>
      </c>
    </row>
    <row r="257" spans="1:10" x14ac:dyDescent="0.3">
      <c r="A257">
        <v>244</v>
      </c>
      <c r="B257" s="174"/>
      <c r="C257" s="154"/>
      <c r="D257" s="154"/>
      <c r="E257" s="154"/>
      <c r="F257" s="154"/>
      <c r="G257" s="154"/>
      <c r="H257" s="154"/>
      <c r="I257" s="154"/>
      <c r="J257" s="175" t="str">
        <f t="shared" si="3"/>
        <v/>
      </c>
    </row>
    <row r="258" spans="1:10" x14ac:dyDescent="0.3">
      <c r="A258">
        <v>245</v>
      </c>
      <c r="B258" s="174"/>
      <c r="C258" s="154"/>
      <c r="D258" s="154"/>
      <c r="E258" s="154"/>
      <c r="F258" s="154"/>
      <c r="G258" s="154"/>
      <c r="H258" s="154"/>
      <c r="I258" s="154"/>
      <c r="J258" s="175" t="str">
        <f t="shared" si="3"/>
        <v/>
      </c>
    </row>
    <row r="259" spans="1:10" x14ac:dyDescent="0.3">
      <c r="A259">
        <v>246</v>
      </c>
      <c r="B259" s="174"/>
      <c r="C259" s="154"/>
      <c r="D259" s="154"/>
      <c r="E259" s="154"/>
      <c r="F259" s="154"/>
      <c r="G259" s="154"/>
      <c r="H259" s="154"/>
      <c r="I259" s="154"/>
      <c r="J259" s="175" t="str">
        <f t="shared" si="3"/>
        <v/>
      </c>
    </row>
    <row r="260" spans="1:10" x14ac:dyDescent="0.3">
      <c r="A260">
        <v>247</v>
      </c>
      <c r="B260" s="174"/>
      <c r="C260" s="154"/>
      <c r="D260" s="154"/>
      <c r="E260" s="154"/>
      <c r="F260" s="154"/>
      <c r="G260" s="154"/>
      <c r="H260" s="154"/>
      <c r="I260" s="154"/>
      <c r="J260" s="175" t="str">
        <f t="shared" si="3"/>
        <v/>
      </c>
    </row>
    <row r="261" spans="1:10" x14ac:dyDescent="0.3">
      <c r="A261">
        <v>248</v>
      </c>
      <c r="B261" s="174"/>
      <c r="C261" s="154"/>
      <c r="D261" s="154"/>
      <c r="E261" s="154"/>
      <c r="F261" s="154"/>
      <c r="G261" s="154"/>
      <c r="H261" s="154"/>
      <c r="I261" s="154"/>
      <c r="J261" s="175" t="str">
        <f t="shared" si="3"/>
        <v/>
      </c>
    </row>
    <row r="262" spans="1:10" x14ac:dyDescent="0.3">
      <c r="A262">
        <v>249</v>
      </c>
      <c r="B262" s="174"/>
      <c r="C262" s="154"/>
      <c r="D262" s="154"/>
      <c r="E262" s="154"/>
      <c r="F262" s="154"/>
      <c r="G262" s="154"/>
      <c r="H262" s="154"/>
      <c r="I262" s="154"/>
      <c r="J262" s="175" t="str">
        <f t="shared" si="3"/>
        <v/>
      </c>
    </row>
    <row r="263" spans="1:10" x14ac:dyDescent="0.3">
      <c r="A263">
        <v>250</v>
      </c>
      <c r="B263" s="174"/>
      <c r="C263" s="154"/>
      <c r="D263" s="154"/>
      <c r="E263" s="154"/>
      <c r="F263" s="154"/>
      <c r="G263" s="154"/>
      <c r="H263" s="154"/>
      <c r="I263" s="154"/>
      <c r="J263" s="175" t="str">
        <f t="shared" si="3"/>
        <v/>
      </c>
    </row>
    <row r="264" spans="1:10" x14ac:dyDescent="0.3">
      <c r="A264">
        <v>251</v>
      </c>
      <c r="B264" s="174"/>
      <c r="C264" s="154"/>
      <c r="D264" s="154"/>
      <c r="E264" s="154"/>
      <c r="F264" s="154"/>
      <c r="G264" s="154"/>
      <c r="H264" s="154"/>
      <c r="I264" s="154"/>
      <c r="J264" s="175" t="str">
        <f t="shared" si="3"/>
        <v/>
      </c>
    </row>
    <row r="265" spans="1:10" x14ac:dyDescent="0.3">
      <c r="A265">
        <v>252</v>
      </c>
      <c r="B265" s="174"/>
      <c r="C265" s="154"/>
      <c r="D265" s="154"/>
      <c r="E265" s="154"/>
      <c r="F265" s="154"/>
      <c r="G265" s="154"/>
      <c r="H265" s="154"/>
      <c r="I265" s="154"/>
      <c r="J265" s="175" t="str">
        <f t="shared" si="3"/>
        <v/>
      </c>
    </row>
    <row r="266" spans="1:10" x14ac:dyDescent="0.3">
      <c r="A266">
        <v>253</v>
      </c>
      <c r="B266" s="174"/>
      <c r="C266" s="154"/>
      <c r="D266" s="154"/>
      <c r="E266" s="154"/>
      <c r="F266" s="154"/>
      <c r="G266" s="154"/>
      <c r="H266" s="154"/>
      <c r="I266" s="154"/>
      <c r="J266" s="175" t="str">
        <f t="shared" si="3"/>
        <v/>
      </c>
    </row>
    <row r="267" spans="1:10" x14ac:dyDescent="0.3">
      <c r="A267">
        <v>254</v>
      </c>
      <c r="B267" s="174"/>
      <c r="C267" s="154"/>
      <c r="D267" s="154"/>
      <c r="E267" s="154"/>
      <c r="F267" s="154"/>
      <c r="G267" s="154"/>
      <c r="H267" s="154"/>
      <c r="I267" s="154"/>
      <c r="J267" s="175" t="str">
        <f t="shared" si="3"/>
        <v/>
      </c>
    </row>
    <row r="268" spans="1:10" x14ac:dyDescent="0.3">
      <c r="A268">
        <v>255</v>
      </c>
      <c r="B268" s="174"/>
      <c r="C268" s="154"/>
      <c r="D268" s="154"/>
      <c r="E268" s="154"/>
      <c r="F268" s="154"/>
      <c r="G268" s="154"/>
      <c r="H268" s="154"/>
      <c r="I268" s="154"/>
      <c r="J268" s="175" t="str">
        <f t="shared" si="3"/>
        <v/>
      </c>
    </row>
    <row r="269" spans="1:10" x14ac:dyDescent="0.3">
      <c r="A269">
        <v>256</v>
      </c>
      <c r="B269" s="174"/>
      <c r="C269" s="154"/>
      <c r="D269" s="154"/>
      <c r="E269" s="154"/>
      <c r="F269" s="154"/>
      <c r="G269" s="154"/>
      <c r="H269" s="154"/>
      <c r="I269" s="154"/>
      <c r="J269" s="175" t="str">
        <f t="shared" si="3"/>
        <v/>
      </c>
    </row>
    <row r="270" spans="1:10" x14ac:dyDescent="0.3">
      <c r="A270">
        <v>257</v>
      </c>
      <c r="B270" s="174"/>
      <c r="C270" s="154"/>
      <c r="D270" s="154"/>
      <c r="E270" s="154"/>
      <c r="F270" s="154"/>
      <c r="G270" s="154"/>
      <c r="H270" s="154"/>
      <c r="I270" s="154"/>
      <c r="J270" s="175" t="str">
        <f t="shared" si="3"/>
        <v/>
      </c>
    </row>
    <row r="271" spans="1:10" x14ac:dyDescent="0.3">
      <c r="A271">
        <v>258</v>
      </c>
      <c r="B271" s="174"/>
      <c r="C271" s="154"/>
      <c r="D271" s="154"/>
      <c r="E271" s="154"/>
      <c r="F271" s="154"/>
      <c r="G271" s="154"/>
      <c r="H271" s="154"/>
      <c r="I271" s="154"/>
      <c r="J271" s="175" t="str">
        <f t="shared" ref="J271:J334" si="4">IF(B271&lt;&gt;"",SUM(C271:I271),"")</f>
        <v/>
      </c>
    </row>
    <row r="272" spans="1:10" x14ac:dyDescent="0.3">
      <c r="A272">
        <v>259</v>
      </c>
      <c r="B272" s="174"/>
      <c r="C272" s="154"/>
      <c r="D272" s="154"/>
      <c r="E272" s="154"/>
      <c r="F272" s="154"/>
      <c r="G272" s="154"/>
      <c r="H272" s="154"/>
      <c r="I272" s="154"/>
      <c r="J272" s="175" t="str">
        <f t="shared" si="4"/>
        <v/>
      </c>
    </row>
    <row r="273" spans="1:10" x14ac:dyDescent="0.3">
      <c r="A273">
        <v>260</v>
      </c>
      <c r="B273" s="174"/>
      <c r="C273" s="154"/>
      <c r="D273" s="154"/>
      <c r="E273" s="154"/>
      <c r="F273" s="154"/>
      <c r="G273" s="154"/>
      <c r="H273" s="154"/>
      <c r="I273" s="154"/>
      <c r="J273" s="175" t="str">
        <f t="shared" si="4"/>
        <v/>
      </c>
    </row>
    <row r="274" spans="1:10" x14ac:dyDescent="0.3">
      <c r="A274">
        <v>261</v>
      </c>
      <c r="B274" s="174"/>
      <c r="C274" s="154"/>
      <c r="D274" s="154"/>
      <c r="E274" s="154"/>
      <c r="F274" s="154"/>
      <c r="G274" s="154"/>
      <c r="H274" s="154"/>
      <c r="I274" s="154"/>
      <c r="J274" s="175" t="str">
        <f t="shared" si="4"/>
        <v/>
      </c>
    </row>
    <row r="275" spans="1:10" x14ac:dyDescent="0.3">
      <c r="A275">
        <v>262</v>
      </c>
      <c r="B275" s="174"/>
      <c r="C275" s="154"/>
      <c r="D275" s="154"/>
      <c r="E275" s="154"/>
      <c r="F275" s="154"/>
      <c r="G275" s="154"/>
      <c r="H275" s="154"/>
      <c r="I275" s="154"/>
      <c r="J275" s="175" t="str">
        <f t="shared" si="4"/>
        <v/>
      </c>
    </row>
    <row r="276" spans="1:10" x14ac:dyDescent="0.3">
      <c r="A276">
        <v>263</v>
      </c>
      <c r="B276" s="174"/>
      <c r="C276" s="154"/>
      <c r="D276" s="154"/>
      <c r="E276" s="154"/>
      <c r="F276" s="154"/>
      <c r="G276" s="154"/>
      <c r="H276" s="154"/>
      <c r="I276" s="154"/>
      <c r="J276" s="175" t="str">
        <f t="shared" si="4"/>
        <v/>
      </c>
    </row>
    <row r="277" spans="1:10" x14ac:dyDescent="0.3">
      <c r="A277">
        <v>264</v>
      </c>
      <c r="B277" s="174"/>
      <c r="C277" s="154"/>
      <c r="D277" s="154"/>
      <c r="E277" s="154"/>
      <c r="F277" s="154"/>
      <c r="G277" s="154"/>
      <c r="H277" s="154"/>
      <c r="I277" s="154"/>
      <c r="J277" s="175" t="str">
        <f t="shared" si="4"/>
        <v/>
      </c>
    </row>
    <row r="278" spans="1:10" x14ac:dyDescent="0.3">
      <c r="A278">
        <v>265</v>
      </c>
      <c r="B278" s="174"/>
      <c r="C278" s="154"/>
      <c r="D278" s="154"/>
      <c r="E278" s="154"/>
      <c r="F278" s="154"/>
      <c r="G278" s="154"/>
      <c r="H278" s="154"/>
      <c r="I278" s="154"/>
      <c r="J278" s="175" t="str">
        <f t="shared" si="4"/>
        <v/>
      </c>
    </row>
    <row r="279" spans="1:10" x14ac:dyDescent="0.3">
      <c r="A279">
        <v>266</v>
      </c>
      <c r="B279" s="174"/>
      <c r="C279" s="154"/>
      <c r="D279" s="154"/>
      <c r="E279" s="154"/>
      <c r="F279" s="154"/>
      <c r="G279" s="154"/>
      <c r="H279" s="154"/>
      <c r="I279" s="154"/>
      <c r="J279" s="175" t="str">
        <f t="shared" si="4"/>
        <v/>
      </c>
    </row>
    <row r="280" spans="1:10" x14ac:dyDescent="0.3">
      <c r="A280">
        <v>267</v>
      </c>
      <c r="B280" s="174"/>
      <c r="C280" s="154"/>
      <c r="D280" s="154"/>
      <c r="E280" s="154"/>
      <c r="F280" s="154"/>
      <c r="G280" s="154"/>
      <c r="H280" s="154"/>
      <c r="I280" s="154"/>
      <c r="J280" s="175" t="str">
        <f t="shared" si="4"/>
        <v/>
      </c>
    </row>
    <row r="281" spans="1:10" x14ac:dyDescent="0.3">
      <c r="A281">
        <v>268</v>
      </c>
      <c r="B281" s="174"/>
      <c r="C281" s="154"/>
      <c r="D281" s="154"/>
      <c r="E281" s="154"/>
      <c r="F281" s="154"/>
      <c r="G281" s="154"/>
      <c r="H281" s="154"/>
      <c r="I281" s="154"/>
      <c r="J281" s="175" t="str">
        <f t="shared" si="4"/>
        <v/>
      </c>
    </row>
    <row r="282" spans="1:10" x14ac:dyDescent="0.3">
      <c r="A282">
        <v>269</v>
      </c>
      <c r="B282" s="174"/>
      <c r="C282" s="154"/>
      <c r="D282" s="154"/>
      <c r="E282" s="154"/>
      <c r="F282" s="154"/>
      <c r="G282" s="154"/>
      <c r="H282" s="154"/>
      <c r="I282" s="154"/>
      <c r="J282" s="175" t="str">
        <f t="shared" si="4"/>
        <v/>
      </c>
    </row>
    <row r="283" spans="1:10" x14ac:dyDescent="0.3">
      <c r="A283">
        <v>270</v>
      </c>
      <c r="B283" s="174"/>
      <c r="C283" s="154"/>
      <c r="D283" s="154"/>
      <c r="E283" s="154"/>
      <c r="F283" s="154"/>
      <c r="G283" s="154"/>
      <c r="H283" s="154"/>
      <c r="I283" s="154"/>
      <c r="J283" s="175" t="str">
        <f t="shared" si="4"/>
        <v/>
      </c>
    </row>
    <row r="284" spans="1:10" x14ac:dyDescent="0.3">
      <c r="A284">
        <v>271</v>
      </c>
      <c r="B284" s="174"/>
      <c r="C284" s="154"/>
      <c r="D284" s="154"/>
      <c r="E284" s="154"/>
      <c r="F284" s="154"/>
      <c r="G284" s="154"/>
      <c r="H284" s="154"/>
      <c r="I284" s="154"/>
      <c r="J284" s="175" t="str">
        <f t="shared" si="4"/>
        <v/>
      </c>
    </row>
    <row r="285" spans="1:10" x14ac:dyDescent="0.3">
      <c r="A285">
        <v>272</v>
      </c>
      <c r="B285" s="174"/>
      <c r="C285" s="154"/>
      <c r="D285" s="154"/>
      <c r="E285" s="154"/>
      <c r="F285" s="154"/>
      <c r="G285" s="154"/>
      <c r="H285" s="154"/>
      <c r="I285" s="154"/>
      <c r="J285" s="175" t="str">
        <f t="shared" si="4"/>
        <v/>
      </c>
    </row>
    <row r="286" spans="1:10" x14ac:dyDescent="0.3">
      <c r="A286">
        <v>273</v>
      </c>
      <c r="B286" s="174"/>
      <c r="C286" s="154"/>
      <c r="D286" s="154"/>
      <c r="E286" s="154"/>
      <c r="F286" s="154"/>
      <c r="G286" s="154"/>
      <c r="H286" s="154"/>
      <c r="I286" s="154"/>
      <c r="J286" s="175" t="str">
        <f t="shared" si="4"/>
        <v/>
      </c>
    </row>
    <row r="287" spans="1:10" x14ac:dyDescent="0.3">
      <c r="A287">
        <v>274</v>
      </c>
      <c r="B287" s="174"/>
      <c r="C287" s="154"/>
      <c r="D287" s="154"/>
      <c r="E287" s="154"/>
      <c r="F287" s="154"/>
      <c r="G287" s="154"/>
      <c r="H287" s="154"/>
      <c r="I287" s="154"/>
      <c r="J287" s="175" t="str">
        <f t="shared" si="4"/>
        <v/>
      </c>
    </row>
    <row r="288" spans="1:10" x14ac:dyDescent="0.3">
      <c r="A288">
        <v>275</v>
      </c>
      <c r="B288" s="174"/>
      <c r="C288" s="154"/>
      <c r="D288" s="154"/>
      <c r="E288" s="154"/>
      <c r="F288" s="154"/>
      <c r="G288" s="154"/>
      <c r="H288" s="154"/>
      <c r="I288" s="154"/>
      <c r="J288" s="175" t="str">
        <f t="shared" si="4"/>
        <v/>
      </c>
    </row>
    <row r="289" spans="1:10" x14ac:dyDescent="0.3">
      <c r="A289">
        <v>276</v>
      </c>
      <c r="B289" s="174"/>
      <c r="C289" s="154"/>
      <c r="D289" s="154"/>
      <c r="E289" s="154"/>
      <c r="F289" s="154"/>
      <c r="G289" s="154"/>
      <c r="H289" s="154"/>
      <c r="I289" s="154"/>
      <c r="J289" s="175" t="str">
        <f t="shared" si="4"/>
        <v/>
      </c>
    </row>
    <row r="290" spans="1:10" x14ac:dyDescent="0.3">
      <c r="A290">
        <v>277</v>
      </c>
      <c r="B290" s="174"/>
      <c r="C290" s="154"/>
      <c r="D290" s="154"/>
      <c r="E290" s="154"/>
      <c r="F290" s="154"/>
      <c r="G290" s="154"/>
      <c r="H290" s="154"/>
      <c r="I290" s="154"/>
      <c r="J290" s="175" t="str">
        <f t="shared" si="4"/>
        <v/>
      </c>
    </row>
    <row r="291" spans="1:10" x14ac:dyDescent="0.3">
      <c r="A291">
        <v>278</v>
      </c>
      <c r="B291" s="174"/>
      <c r="C291" s="154"/>
      <c r="D291" s="154"/>
      <c r="E291" s="154"/>
      <c r="F291" s="154"/>
      <c r="G291" s="154"/>
      <c r="H291" s="154"/>
      <c r="I291" s="154"/>
      <c r="J291" s="175" t="str">
        <f t="shared" si="4"/>
        <v/>
      </c>
    </row>
    <row r="292" spans="1:10" x14ac:dyDescent="0.3">
      <c r="A292">
        <v>279</v>
      </c>
      <c r="B292" s="174"/>
      <c r="C292" s="154"/>
      <c r="D292" s="154"/>
      <c r="E292" s="154"/>
      <c r="F292" s="154"/>
      <c r="G292" s="154"/>
      <c r="H292" s="154"/>
      <c r="I292" s="154"/>
      <c r="J292" s="175" t="str">
        <f t="shared" si="4"/>
        <v/>
      </c>
    </row>
    <row r="293" spans="1:10" x14ac:dyDescent="0.3">
      <c r="A293">
        <v>280</v>
      </c>
      <c r="B293" s="174"/>
      <c r="C293" s="154"/>
      <c r="D293" s="154"/>
      <c r="E293" s="154"/>
      <c r="F293" s="154"/>
      <c r="G293" s="154"/>
      <c r="H293" s="154"/>
      <c r="I293" s="154"/>
      <c r="J293" s="175" t="str">
        <f t="shared" si="4"/>
        <v/>
      </c>
    </row>
    <row r="294" spans="1:10" x14ac:dyDescent="0.3">
      <c r="A294">
        <v>281</v>
      </c>
      <c r="B294" s="174"/>
      <c r="C294" s="154"/>
      <c r="D294" s="154"/>
      <c r="E294" s="154"/>
      <c r="F294" s="154"/>
      <c r="G294" s="154"/>
      <c r="H294" s="154"/>
      <c r="I294" s="154"/>
      <c r="J294" s="175" t="str">
        <f t="shared" si="4"/>
        <v/>
      </c>
    </row>
    <row r="295" spans="1:10" x14ac:dyDescent="0.3">
      <c r="A295">
        <v>282</v>
      </c>
      <c r="B295" s="174"/>
      <c r="C295" s="154"/>
      <c r="D295" s="154"/>
      <c r="E295" s="154"/>
      <c r="F295" s="154"/>
      <c r="G295" s="154"/>
      <c r="H295" s="154"/>
      <c r="I295" s="154"/>
      <c r="J295" s="175" t="str">
        <f t="shared" si="4"/>
        <v/>
      </c>
    </row>
    <row r="296" spans="1:10" x14ac:dyDescent="0.3">
      <c r="A296">
        <v>283</v>
      </c>
      <c r="B296" s="174"/>
      <c r="C296" s="154"/>
      <c r="D296" s="154"/>
      <c r="E296" s="154"/>
      <c r="F296" s="154"/>
      <c r="G296" s="154"/>
      <c r="H296" s="154"/>
      <c r="I296" s="154"/>
      <c r="J296" s="175" t="str">
        <f t="shared" si="4"/>
        <v/>
      </c>
    </row>
    <row r="297" spans="1:10" x14ac:dyDescent="0.3">
      <c r="A297">
        <v>284</v>
      </c>
      <c r="B297" s="174"/>
      <c r="C297" s="154"/>
      <c r="D297" s="154"/>
      <c r="E297" s="154"/>
      <c r="F297" s="154"/>
      <c r="G297" s="154"/>
      <c r="H297" s="154"/>
      <c r="I297" s="154"/>
      <c r="J297" s="175" t="str">
        <f t="shared" si="4"/>
        <v/>
      </c>
    </row>
    <row r="298" spans="1:10" x14ac:dyDescent="0.3">
      <c r="A298">
        <v>285</v>
      </c>
      <c r="B298" s="174"/>
      <c r="C298" s="154"/>
      <c r="D298" s="154"/>
      <c r="E298" s="154"/>
      <c r="F298" s="154"/>
      <c r="G298" s="154"/>
      <c r="H298" s="154"/>
      <c r="I298" s="154"/>
      <c r="J298" s="175" t="str">
        <f t="shared" si="4"/>
        <v/>
      </c>
    </row>
    <row r="299" spans="1:10" x14ac:dyDescent="0.3">
      <c r="A299">
        <v>286</v>
      </c>
      <c r="B299" s="174"/>
      <c r="C299" s="154"/>
      <c r="D299" s="154"/>
      <c r="E299" s="154"/>
      <c r="F299" s="154"/>
      <c r="G299" s="154"/>
      <c r="H299" s="154"/>
      <c r="I299" s="154"/>
      <c r="J299" s="175" t="str">
        <f t="shared" si="4"/>
        <v/>
      </c>
    </row>
    <row r="300" spans="1:10" x14ac:dyDescent="0.3">
      <c r="A300">
        <v>287</v>
      </c>
      <c r="B300" s="174"/>
      <c r="C300" s="154"/>
      <c r="D300" s="154"/>
      <c r="E300" s="154"/>
      <c r="F300" s="154"/>
      <c r="G300" s="154"/>
      <c r="H300" s="154"/>
      <c r="I300" s="154"/>
      <c r="J300" s="175" t="str">
        <f t="shared" si="4"/>
        <v/>
      </c>
    </row>
    <row r="301" spans="1:10" x14ac:dyDescent="0.3">
      <c r="A301">
        <v>288</v>
      </c>
      <c r="B301" s="174"/>
      <c r="C301" s="154"/>
      <c r="D301" s="154"/>
      <c r="E301" s="154"/>
      <c r="F301" s="154"/>
      <c r="G301" s="154"/>
      <c r="H301" s="154"/>
      <c r="I301" s="154"/>
      <c r="J301" s="175" t="str">
        <f t="shared" si="4"/>
        <v/>
      </c>
    </row>
    <row r="302" spans="1:10" x14ac:dyDescent="0.3">
      <c r="A302">
        <v>289</v>
      </c>
      <c r="B302" s="174"/>
      <c r="C302" s="154"/>
      <c r="D302" s="154"/>
      <c r="E302" s="154"/>
      <c r="F302" s="154"/>
      <c r="G302" s="154"/>
      <c r="H302" s="154"/>
      <c r="I302" s="154"/>
      <c r="J302" s="175" t="str">
        <f t="shared" si="4"/>
        <v/>
      </c>
    </row>
    <row r="303" spans="1:10" x14ac:dyDescent="0.3">
      <c r="A303">
        <v>290</v>
      </c>
      <c r="B303" s="174"/>
      <c r="C303" s="154"/>
      <c r="D303" s="154"/>
      <c r="E303" s="154"/>
      <c r="F303" s="154"/>
      <c r="G303" s="154"/>
      <c r="H303" s="154"/>
      <c r="I303" s="154"/>
      <c r="J303" s="175" t="str">
        <f t="shared" si="4"/>
        <v/>
      </c>
    </row>
    <row r="304" spans="1:10" x14ac:dyDescent="0.3">
      <c r="A304">
        <v>291</v>
      </c>
      <c r="B304" s="174"/>
      <c r="C304" s="154"/>
      <c r="D304" s="154"/>
      <c r="E304" s="154"/>
      <c r="F304" s="154"/>
      <c r="G304" s="154"/>
      <c r="H304" s="154"/>
      <c r="I304" s="154"/>
      <c r="J304" s="175" t="str">
        <f t="shared" si="4"/>
        <v/>
      </c>
    </row>
    <row r="305" spans="1:10" x14ac:dyDescent="0.3">
      <c r="A305">
        <v>292</v>
      </c>
      <c r="B305" s="174"/>
      <c r="C305" s="154"/>
      <c r="D305" s="154"/>
      <c r="E305" s="154"/>
      <c r="F305" s="154"/>
      <c r="G305" s="154"/>
      <c r="H305" s="154"/>
      <c r="I305" s="154"/>
      <c r="J305" s="175" t="str">
        <f t="shared" si="4"/>
        <v/>
      </c>
    </row>
    <row r="306" spans="1:10" x14ac:dyDescent="0.3">
      <c r="A306">
        <v>293</v>
      </c>
      <c r="B306" s="174"/>
      <c r="C306" s="154"/>
      <c r="D306" s="154"/>
      <c r="E306" s="154"/>
      <c r="F306" s="154"/>
      <c r="G306" s="154"/>
      <c r="H306" s="154"/>
      <c r="I306" s="154"/>
      <c r="J306" s="175" t="str">
        <f t="shared" si="4"/>
        <v/>
      </c>
    </row>
    <row r="307" spans="1:10" x14ac:dyDescent="0.3">
      <c r="A307">
        <v>294</v>
      </c>
      <c r="B307" s="174"/>
      <c r="C307" s="154"/>
      <c r="D307" s="154"/>
      <c r="E307" s="154"/>
      <c r="F307" s="154"/>
      <c r="G307" s="154"/>
      <c r="H307" s="154"/>
      <c r="I307" s="154"/>
      <c r="J307" s="175" t="str">
        <f t="shared" si="4"/>
        <v/>
      </c>
    </row>
    <row r="308" spans="1:10" x14ac:dyDescent="0.3">
      <c r="A308">
        <v>295</v>
      </c>
      <c r="B308" s="174"/>
      <c r="C308" s="154"/>
      <c r="D308" s="154"/>
      <c r="E308" s="154"/>
      <c r="F308" s="154"/>
      <c r="G308" s="154"/>
      <c r="H308" s="154"/>
      <c r="I308" s="154"/>
      <c r="J308" s="175" t="str">
        <f t="shared" si="4"/>
        <v/>
      </c>
    </row>
    <row r="309" spans="1:10" x14ac:dyDescent="0.3">
      <c r="A309">
        <v>296</v>
      </c>
      <c r="B309" s="174"/>
      <c r="C309" s="154"/>
      <c r="D309" s="154"/>
      <c r="E309" s="154"/>
      <c r="F309" s="154"/>
      <c r="G309" s="154"/>
      <c r="H309" s="154"/>
      <c r="I309" s="154"/>
      <c r="J309" s="175" t="str">
        <f t="shared" si="4"/>
        <v/>
      </c>
    </row>
    <row r="310" spans="1:10" x14ac:dyDescent="0.3">
      <c r="A310">
        <v>297</v>
      </c>
      <c r="B310" s="174"/>
      <c r="C310" s="154"/>
      <c r="D310" s="154"/>
      <c r="E310" s="154"/>
      <c r="F310" s="154"/>
      <c r="G310" s="154"/>
      <c r="H310" s="154"/>
      <c r="I310" s="154"/>
      <c r="J310" s="175" t="str">
        <f t="shared" si="4"/>
        <v/>
      </c>
    </row>
    <row r="311" spans="1:10" x14ac:dyDescent="0.3">
      <c r="A311">
        <v>298</v>
      </c>
      <c r="B311" s="174"/>
      <c r="C311" s="154"/>
      <c r="D311" s="154"/>
      <c r="E311" s="154"/>
      <c r="F311" s="154"/>
      <c r="G311" s="154"/>
      <c r="H311" s="154"/>
      <c r="I311" s="154"/>
      <c r="J311" s="175" t="str">
        <f t="shared" si="4"/>
        <v/>
      </c>
    </row>
    <row r="312" spans="1:10" x14ac:dyDescent="0.3">
      <c r="A312">
        <v>299</v>
      </c>
      <c r="B312" s="174"/>
      <c r="C312" s="154"/>
      <c r="D312" s="154"/>
      <c r="E312" s="154"/>
      <c r="F312" s="154"/>
      <c r="G312" s="154"/>
      <c r="H312" s="154"/>
      <c r="I312" s="154"/>
      <c r="J312" s="175" t="str">
        <f t="shared" si="4"/>
        <v/>
      </c>
    </row>
    <row r="313" spans="1:10" x14ac:dyDescent="0.3">
      <c r="A313">
        <v>300</v>
      </c>
      <c r="B313" s="174"/>
      <c r="C313" s="154"/>
      <c r="D313" s="154"/>
      <c r="E313" s="154"/>
      <c r="F313" s="154"/>
      <c r="G313" s="154"/>
      <c r="H313" s="154"/>
      <c r="I313" s="154"/>
      <c r="J313" s="175" t="str">
        <f t="shared" si="4"/>
        <v/>
      </c>
    </row>
    <row r="314" spans="1:10" x14ac:dyDescent="0.3">
      <c r="A314">
        <v>301</v>
      </c>
      <c r="B314" s="174"/>
      <c r="C314" s="177"/>
      <c r="D314" s="177"/>
      <c r="E314" s="177"/>
      <c r="F314" s="177"/>
      <c r="G314" s="177"/>
      <c r="H314" s="177"/>
      <c r="I314" s="177"/>
      <c r="J314" s="175" t="str">
        <f t="shared" si="4"/>
        <v/>
      </c>
    </row>
    <row r="315" spans="1:10" x14ac:dyDescent="0.3">
      <c r="A315">
        <v>302</v>
      </c>
      <c r="B315" s="174"/>
      <c r="C315" s="177"/>
      <c r="D315" s="177"/>
      <c r="E315" s="177"/>
      <c r="F315" s="177"/>
      <c r="G315" s="177"/>
      <c r="H315" s="177"/>
      <c r="I315" s="177"/>
      <c r="J315" s="175" t="str">
        <f t="shared" si="4"/>
        <v/>
      </c>
    </row>
    <row r="316" spans="1:10" x14ac:dyDescent="0.3">
      <c r="A316">
        <v>303</v>
      </c>
      <c r="B316" s="174"/>
      <c r="C316" s="177"/>
      <c r="D316" s="177"/>
      <c r="E316" s="177"/>
      <c r="F316" s="177"/>
      <c r="G316" s="177"/>
      <c r="H316" s="177"/>
      <c r="I316" s="177"/>
      <c r="J316" s="175" t="str">
        <f t="shared" si="4"/>
        <v/>
      </c>
    </row>
    <row r="317" spans="1:10" x14ac:dyDescent="0.3">
      <c r="A317">
        <v>304</v>
      </c>
      <c r="B317" s="174"/>
      <c r="C317" s="177"/>
      <c r="D317" s="177"/>
      <c r="E317" s="177"/>
      <c r="F317" s="177"/>
      <c r="G317" s="177"/>
      <c r="H317" s="177"/>
      <c r="I317" s="177"/>
      <c r="J317" s="175" t="str">
        <f t="shared" si="4"/>
        <v/>
      </c>
    </row>
    <row r="318" spans="1:10" x14ac:dyDescent="0.3">
      <c r="A318">
        <v>305</v>
      </c>
      <c r="B318" s="174"/>
      <c r="C318" s="177"/>
      <c r="D318" s="177"/>
      <c r="E318" s="177"/>
      <c r="F318" s="177"/>
      <c r="G318" s="177"/>
      <c r="H318" s="177"/>
      <c r="I318" s="177"/>
      <c r="J318" s="175" t="str">
        <f t="shared" si="4"/>
        <v/>
      </c>
    </row>
    <row r="319" spans="1:10" x14ac:dyDescent="0.3">
      <c r="A319">
        <v>306</v>
      </c>
      <c r="B319" s="174"/>
      <c r="C319" s="177"/>
      <c r="D319" s="177"/>
      <c r="E319" s="177"/>
      <c r="F319" s="177"/>
      <c r="G319" s="177"/>
      <c r="H319" s="177"/>
      <c r="I319" s="177"/>
      <c r="J319" s="175" t="str">
        <f t="shared" si="4"/>
        <v/>
      </c>
    </row>
    <row r="320" spans="1:10" x14ac:dyDescent="0.3">
      <c r="A320">
        <v>307</v>
      </c>
      <c r="B320" s="174"/>
      <c r="C320" s="177"/>
      <c r="D320" s="177"/>
      <c r="E320" s="177"/>
      <c r="F320" s="177"/>
      <c r="G320" s="177"/>
      <c r="H320" s="177"/>
      <c r="I320" s="177"/>
      <c r="J320" s="175" t="str">
        <f t="shared" si="4"/>
        <v/>
      </c>
    </row>
    <row r="321" spans="1:10" x14ac:dyDescent="0.3">
      <c r="A321">
        <v>308</v>
      </c>
      <c r="B321" s="174"/>
      <c r="C321" s="177"/>
      <c r="D321" s="177"/>
      <c r="E321" s="177"/>
      <c r="F321" s="177"/>
      <c r="G321" s="177"/>
      <c r="H321" s="177"/>
      <c r="I321" s="177"/>
      <c r="J321" s="175" t="str">
        <f t="shared" si="4"/>
        <v/>
      </c>
    </row>
    <row r="322" spans="1:10" x14ac:dyDescent="0.3">
      <c r="A322">
        <v>309</v>
      </c>
      <c r="B322" s="174"/>
      <c r="C322" s="177"/>
      <c r="D322" s="177"/>
      <c r="E322" s="177"/>
      <c r="F322" s="177"/>
      <c r="G322" s="177"/>
      <c r="H322" s="177"/>
      <c r="I322" s="177"/>
      <c r="J322" s="175" t="str">
        <f t="shared" si="4"/>
        <v/>
      </c>
    </row>
    <row r="323" spans="1:10" x14ac:dyDescent="0.3">
      <c r="A323">
        <v>310</v>
      </c>
      <c r="B323" s="174"/>
      <c r="C323" s="177"/>
      <c r="D323" s="177"/>
      <c r="E323" s="177"/>
      <c r="F323" s="177"/>
      <c r="G323" s="177"/>
      <c r="H323" s="177"/>
      <c r="I323" s="177"/>
      <c r="J323" s="175" t="str">
        <f t="shared" si="4"/>
        <v/>
      </c>
    </row>
    <row r="324" spans="1:10" x14ac:dyDescent="0.3">
      <c r="A324">
        <v>311</v>
      </c>
      <c r="B324" s="174"/>
      <c r="C324" s="177"/>
      <c r="D324" s="177"/>
      <c r="E324" s="177"/>
      <c r="F324" s="177"/>
      <c r="G324" s="177"/>
      <c r="H324" s="177"/>
      <c r="I324" s="177"/>
      <c r="J324" s="175" t="str">
        <f t="shared" si="4"/>
        <v/>
      </c>
    </row>
    <row r="325" spans="1:10" x14ac:dyDescent="0.3">
      <c r="A325">
        <v>312</v>
      </c>
      <c r="B325" s="174"/>
      <c r="C325" s="177"/>
      <c r="D325" s="177"/>
      <c r="E325" s="177"/>
      <c r="F325" s="177"/>
      <c r="G325" s="177"/>
      <c r="H325" s="177"/>
      <c r="I325" s="177"/>
      <c r="J325" s="175" t="str">
        <f t="shared" si="4"/>
        <v/>
      </c>
    </row>
    <row r="326" spans="1:10" x14ac:dyDescent="0.3">
      <c r="A326">
        <v>313</v>
      </c>
      <c r="B326" s="174"/>
      <c r="C326" s="177"/>
      <c r="D326" s="177"/>
      <c r="E326" s="177"/>
      <c r="F326" s="177"/>
      <c r="G326" s="177"/>
      <c r="H326" s="177"/>
      <c r="I326" s="177"/>
      <c r="J326" s="175" t="str">
        <f t="shared" si="4"/>
        <v/>
      </c>
    </row>
    <row r="327" spans="1:10" x14ac:dyDescent="0.3">
      <c r="A327">
        <v>314</v>
      </c>
      <c r="B327" s="174"/>
      <c r="C327" s="177"/>
      <c r="D327" s="177"/>
      <c r="E327" s="177"/>
      <c r="F327" s="177"/>
      <c r="G327" s="177"/>
      <c r="H327" s="177"/>
      <c r="I327" s="177"/>
      <c r="J327" s="175" t="str">
        <f t="shared" si="4"/>
        <v/>
      </c>
    </row>
    <row r="328" spans="1:10" x14ac:dyDescent="0.3">
      <c r="A328">
        <v>315</v>
      </c>
      <c r="B328" s="174"/>
      <c r="C328" s="177"/>
      <c r="D328" s="177"/>
      <c r="E328" s="177"/>
      <c r="F328" s="177"/>
      <c r="G328" s="177"/>
      <c r="H328" s="177"/>
      <c r="I328" s="177"/>
      <c r="J328" s="175" t="str">
        <f t="shared" si="4"/>
        <v/>
      </c>
    </row>
    <row r="329" spans="1:10" x14ac:dyDescent="0.3">
      <c r="A329">
        <v>316</v>
      </c>
      <c r="B329" s="174"/>
      <c r="C329" s="177"/>
      <c r="D329" s="177"/>
      <c r="E329" s="177"/>
      <c r="F329" s="177"/>
      <c r="G329" s="177"/>
      <c r="H329" s="177"/>
      <c r="I329" s="177"/>
      <c r="J329" s="175" t="str">
        <f t="shared" si="4"/>
        <v/>
      </c>
    </row>
    <row r="330" spans="1:10" x14ac:dyDescent="0.3">
      <c r="A330">
        <v>317</v>
      </c>
      <c r="B330" s="174"/>
      <c r="C330" s="177"/>
      <c r="D330" s="177"/>
      <c r="E330" s="177"/>
      <c r="F330" s="177"/>
      <c r="G330" s="177"/>
      <c r="H330" s="177"/>
      <c r="I330" s="177"/>
      <c r="J330" s="175" t="str">
        <f t="shared" si="4"/>
        <v/>
      </c>
    </row>
    <row r="331" spans="1:10" x14ac:dyDescent="0.3">
      <c r="A331">
        <v>318</v>
      </c>
      <c r="B331" s="174"/>
      <c r="C331" s="177"/>
      <c r="D331" s="177"/>
      <c r="E331" s="177"/>
      <c r="F331" s="177"/>
      <c r="G331" s="177"/>
      <c r="H331" s="177"/>
      <c r="I331" s="177"/>
      <c r="J331" s="175" t="str">
        <f t="shared" si="4"/>
        <v/>
      </c>
    </row>
    <row r="332" spans="1:10" x14ac:dyDescent="0.3">
      <c r="A332">
        <v>319</v>
      </c>
      <c r="B332" s="174"/>
      <c r="C332" s="177"/>
      <c r="D332" s="177"/>
      <c r="E332" s="177"/>
      <c r="F332" s="177"/>
      <c r="G332" s="177"/>
      <c r="H332" s="177"/>
      <c r="I332" s="177"/>
      <c r="J332" s="175" t="str">
        <f t="shared" si="4"/>
        <v/>
      </c>
    </row>
    <row r="333" spans="1:10" x14ac:dyDescent="0.3">
      <c r="A333">
        <v>320</v>
      </c>
      <c r="B333" s="174"/>
      <c r="C333" s="177"/>
      <c r="D333" s="177"/>
      <c r="E333" s="177"/>
      <c r="F333" s="177"/>
      <c r="G333" s="177"/>
      <c r="H333" s="177"/>
      <c r="I333" s="177"/>
      <c r="J333" s="175" t="str">
        <f t="shared" si="4"/>
        <v/>
      </c>
    </row>
    <row r="334" spans="1:10" x14ac:dyDescent="0.3">
      <c r="A334">
        <v>321</v>
      </c>
      <c r="B334" s="174"/>
      <c r="C334" s="177"/>
      <c r="D334" s="177"/>
      <c r="E334" s="177"/>
      <c r="F334" s="177"/>
      <c r="G334" s="177"/>
      <c r="H334" s="177"/>
      <c r="I334" s="177"/>
      <c r="J334" s="175" t="str">
        <f t="shared" si="4"/>
        <v/>
      </c>
    </row>
    <row r="335" spans="1:10" x14ac:dyDescent="0.3">
      <c r="A335">
        <v>322</v>
      </c>
      <c r="B335" s="174"/>
      <c r="C335" s="177"/>
      <c r="D335" s="177"/>
      <c r="E335" s="177"/>
      <c r="F335" s="177"/>
      <c r="G335" s="177"/>
      <c r="H335" s="177"/>
      <c r="I335" s="177"/>
      <c r="J335" s="175" t="str">
        <f t="shared" ref="J335:J373" si="5">IF(B335&lt;&gt;"",SUM(C335:I335),"")</f>
        <v/>
      </c>
    </row>
    <row r="336" spans="1:10" x14ac:dyDescent="0.3">
      <c r="A336">
        <v>323</v>
      </c>
      <c r="B336" s="174"/>
      <c r="C336" s="177"/>
      <c r="D336" s="177"/>
      <c r="E336" s="177"/>
      <c r="F336" s="177"/>
      <c r="G336" s="177"/>
      <c r="H336" s="177"/>
      <c r="I336" s="177"/>
      <c r="J336" s="175" t="str">
        <f t="shared" si="5"/>
        <v/>
      </c>
    </row>
    <row r="337" spans="1:10" x14ac:dyDescent="0.3">
      <c r="A337">
        <v>324</v>
      </c>
      <c r="B337" s="174"/>
      <c r="C337" s="177"/>
      <c r="D337" s="177"/>
      <c r="E337" s="177"/>
      <c r="F337" s="177"/>
      <c r="G337" s="177"/>
      <c r="H337" s="177"/>
      <c r="I337" s="177"/>
      <c r="J337" s="175" t="str">
        <f t="shared" si="5"/>
        <v/>
      </c>
    </row>
    <row r="338" spans="1:10" x14ac:dyDescent="0.3">
      <c r="A338">
        <v>325</v>
      </c>
      <c r="B338" s="174"/>
      <c r="C338" s="177"/>
      <c r="D338" s="177"/>
      <c r="E338" s="177"/>
      <c r="F338" s="177"/>
      <c r="G338" s="177"/>
      <c r="H338" s="177"/>
      <c r="I338" s="177"/>
      <c r="J338" s="175" t="str">
        <f t="shared" si="5"/>
        <v/>
      </c>
    </row>
    <row r="339" spans="1:10" x14ac:dyDescent="0.3">
      <c r="A339">
        <v>326</v>
      </c>
      <c r="B339" s="174"/>
      <c r="C339" s="177"/>
      <c r="D339" s="177"/>
      <c r="E339" s="177"/>
      <c r="F339" s="177"/>
      <c r="G339" s="177"/>
      <c r="H339" s="177"/>
      <c r="I339" s="177"/>
      <c r="J339" s="175" t="str">
        <f t="shared" si="5"/>
        <v/>
      </c>
    </row>
    <row r="340" spans="1:10" x14ac:dyDescent="0.3">
      <c r="A340">
        <v>327</v>
      </c>
      <c r="B340" s="174"/>
      <c r="C340" s="177"/>
      <c r="D340" s="177"/>
      <c r="E340" s="177"/>
      <c r="F340" s="177"/>
      <c r="G340" s="177"/>
      <c r="H340" s="177"/>
      <c r="I340" s="177"/>
      <c r="J340" s="175" t="str">
        <f t="shared" si="5"/>
        <v/>
      </c>
    </row>
    <row r="341" spans="1:10" x14ac:dyDescent="0.3">
      <c r="A341">
        <v>328</v>
      </c>
      <c r="B341" s="174"/>
      <c r="C341" s="177"/>
      <c r="D341" s="177"/>
      <c r="E341" s="177"/>
      <c r="F341" s="177"/>
      <c r="G341" s="177"/>
      <c r="H341" s="177"/>
      <c r="I341" s="177"/>
      <c r="J341" s="175" t="str">
        <f t="shared" si="5"/>
        <v/>
      </c>
    </row>
    <row r="342" spans="1:10" x14ac:dyDescent="0.3">
      <c r="A342">
        <v>329</v>
      </c>
      <c r="B342" s="174"/>
      <c r="C342" s="177"/>
      <c r="D342" s="177"/>
      <c r="E342" s="177"/>
      <c r="F342" s="177"/>
      <c r="G342" s="177"/>
      <c r="H342" s="177"/>
      <c r="I342" s="177"/>
      <c r="J342" s="175" t="str">
        <f t="shared" si="5"/>
        <v/>
      </c>
    </row>
    <row r="343" spans="1:10" x14ac:dyDescent="0.3">
      <c r="A343">
        <v>330</v>
      </c>
      <c r="B343" s="174"/>
      <c r="C343" s="177"/>
      <c r="D343" s="177"/>
      <c r="E343" s="177"/>
      <c r="F343" s="177"/>
      <c r="G343" s="177"/>
      <c r="H343" s="177"/>
      <c r="I343" s="177"/>
      <c r="J343" s="175" t="str">
        <f t="shared" si="5"/>
        <v/>
      </c>
    </row>
    <row r="344" spans="1:10" x14ac:dyDescent="0.3">
      <c r="A344">
        <v>331</v>
      </c>
      <c r="B344" s="174"/>
      <c r="C344" s="177"/>
      <c r="D344" s="177"/>
      <c r="E344" s="177"/>
      <c r="F344" s="177"/>
      <c r="G344" s="177"/>
      <c r="H344" s="177"/>
      <c r="I344" s="177"/>
      <c r="J344" s="175" t="str">
        <f t="shared" si="5"/>
        <v/>
      </c>
    </row>
    <row r="345" spans="1:10" x14ac:dyDescent="0.3">
      <c r="A345">
        <v>332</v>
      </c>
      <c r="B345" s="174"/>
      <c r="C345" s="177"/>
      <c r="D345" s="177"/>
      <c r="E345" s="177"/>
      <c r="F345" s="177"/>
      <c r="G345" s="177"/>
      <c r="H345" s="177"/>
      <c r="I345" s="177"/>
      <c r="J345" s="175" t="str">
        <f t="shared" si="5"/>
        <v/>
      </c>
    </row>
    <row r="346" spans="1:10" x14ac:dyDescent="0.3">
      <c r="A346">
        <v>333</v>
      </c>
      <c r="B346" s="174"/>
      <c r="C346" s="177"/>
      <c r="D346" s="177"/>
      <c r="E346" s="177"/>
      <c r="F346" s="177"/>
      <c r="G346" s="177"/>
      <c r="H346" s="177"/>
      <c r="I346" s="177"/>
      <c r="J346" s="175" t="str">
        <f t="shared" si="5"/>
        <v/>
      </c>
    </row>
    <row r="347" spans="1:10" x14ac:dyDescent="0.3">
      <c r="A347">
        <v>334</v>
      </c>
      <c r="B347" s="174"/>
      <c r="C347" s="177"/>
      <c r="D347" s="177"/>
      <c r="E347" s="177"/>
      <c r="F347" s="177"/>
      <c r="G347" s="177"/>
      <c r="H347" s="177"/>
      <c r="I347" s="177"/>
      <c r="J347" s="175" t="str">
        <f t="shared" si="5"/>
        <v/>
      </c>
    </row>
    <row r="348" spans="1:10" x14ac:dyDescent="0.3">
      <c r="A348">
        <v>335</v>
      </c>
      <c r="B348" s="174"/>
      <c r="C348" s="177"/>
      <c r="D348" s="177"/>
      <c r="E348" s="177"/>
      <c r="F348" s="177"/>
      <c r="G348" s="177"/>
      <c r="H348" s="177"/>
      <c r="I348" s="177"/>
      <c r="J348" s="175" t="str">
        <f t="shared" si="5"/>
        <v/>
      </c>
    </row>
    <row r="349" spans="1:10" x14ac:dyDescent="0.3">
      <c r="A349">
        <v>336</v>
      </c>
      <c r="B349" s="174"/>
      <c r="C349" s="177"/>
      <c r="D349" s="177"/>
      <c r="E349" s="177"/>
      <c r="F349" s="177"/>
      <c r="G349" s="177"/>
      <c r="H349" s="177"/>
      <c r="I349" s="177"/>
      <c r="J349" s="175" t="str">
        <f t="shared" si="5"/>
        <v/>
      </c>
    </row>
    <row r="350" spans="1:10" x14ac:dyDescent="0.3">
      <c r="A350">
        <v>337</v>
      </c>
      <c r="B350" s="174"/>
      <c r="C350" s="177"/>
      <c r="D350" s="177"/>
      <c r="E350" s="177"/>
      <c r="F350" s="177"/>
      <c r="G350" s="177"/>
      <c r="H350" s="177"/>
      <c r="I350" s="177"/>
      <c r="J350" s="175" t="str">
        <f t="shared" si="5"/>
        <v/>
      </c>
    </row>
    <row r="351" spans="1:10" x14ac:dyDescent="0.3">
      <c r="A351">
        <v>338</v>
      </c>
      <c r="B351" s="174"/>
      <c r="C351" s="177"/>
      <c r="D351" s="177"/>
      <c r="E351" s="177"/>
      <c r="F351" s="177"/>
      <c r="G351" s="177"/>
      <c r="H351" s="177"/>
      <c r="I351" s="177"/>
      <c r="J351" s="175" t="str">
        <f t="shared" si="5"/>
        <v/>
      </c>
    </row>
    <row r="352" spans="1:10" x14ac:dyDescent="0.3">
      <c r="A352">
        <v>339</v>
      </c>
      <c r="B352" s="174"/>
      <c r="C352" s="177"/>
      <c r="D352" s="177"/>
      <c r="E352" s="177"/>
      <c r="F352" s="177"/>
      <c r="G352" s="177"/>
      <c r="H352" s="177"/>
      <c r="I352" s="177"/>
      <c r="J352" s="175" t="str">
        <f t="shared" si="5"/>
        <v/>
      </c>
    </row>
    <row r="353" spans="1:10" x14ac:dyDescent="0.3">
      <c r="A353">
        <v>340</v>
      </c>
      <c r="B353" s="174"/>
      <c r="C353" s="177"/>
      <c r="D353" s="177"/>
      <c r="E353" s="177"/>
      <c r="F353" s="177"/>
      <c r="G353" s="177"/>
      <c r="H353" s="177"/>
      <c r="I353" s="177"/>
      <c r="J353" s="175" t="str">
        <f t="shared" si="5"/>
        <v/>
      </c>
    </row>
    <row r="354" spans="1:10" x14ac:dyDescent="0.3">
      <c r="A354">
        <v>341</v>
      </c>
      <c r="B354" s="174"/>
      <c r="C354" s="177"/>
      <c r="D354" s="177"/>
      <c r="E354" s="177"/>
      <c r="F354" s="177"/>
      <c r="G354" s="177"/>
      <c r="H354" s="177"/>
      <c r="I354" s="177"/>
      <c r="J354" s="175" t="str">
        <f t="shared" si="5"/>
        <v/>
      </c>
    </row>
    <row r="355" spans="1:10" x14ac:dyDescent="0.3">
      <c r="A355">
        <v>342</v>
      </c>
      <c r="B355" s="174"/>
      <c r="C355" s="177"/>
      <c r="D355" s="177"/>
      <c r="E355" s="177"/>
      <c r="F355" s="177"/>
      <c r="G355" s="177"/>
      <c r="H355" s="177"/>
      <c r="I355" s="177"/>
      <c r="J355" s="175" t="str">
        <f t="shared" si="5"/>
        <v/>
      </c>
    </row>
    <row r="356" spans="1:10" x14ac:dyDescent="0.3">
      <c r="A356">
        <v>343</v>
      </c>
      <c r="B356" s="174"/>
      <c r="C356" s="177"/>
      <c r="D356" s="177"/>
      <c r="E356" s="177"/>
      <c r="F356" s="177"/>
      <c r="G356" s="177"/>
      <c r="H356" s="177"/>
      <c r="I356" s="177"/>
      <c r="J356" s="175" t="str">
        <f t="shared" si="5"/>
        <v/>
      </c>
    </row>
    <row r="357" spans="1:10" x14ac:dyDescent="0.3">
      <c r="A357">
        <v>344</v>
      </c>
      <c r="B357" s="174"/>
      <c r="C357" s="177"/>
      <c r="D357" s="177"/>
      <c r="E357" s="177"/>
      <c r="F357" s="177"/>
      <c r="G357" s="177"/>
      <c r="H357" s="177"/>
      <c r="I357" s="177"/>
      <c r="J357" s="175" t="str">
        <f t="shared" si="5"/>
        <v/>
      </c>
    </row>
    <row r="358" spans="1:10" x14ac:dyDescent="0.3">
      <c r="A358">
        <v>345</v>
      </c>
      <c r="B358" s="174"/>
      <c r="C358" s="177"/>
      <c r="D358" s="177"/>
      <c r="E358" s="177"/>
      <c r="F358" s="177"/>
      <c r="G358" s="177"/>
      <c r="H358" s="177"/>
      <c r="I358" s="177"/>
      <c r="J358" s="175" t="str">
        <f t="shared" si="5"/>
        <v/>
      </c>
    </row>
    <row r="359" spans="1:10" x14ac:dyDescent="0.3">
      <c r="A359">
        <v>346</v>
      </c>
      <c r="B359" s="174"/>
      <c r="C359" s="177"/>
      <c r="D359" s="177"/>
      <c r="E359" s="177"/>
      <c r="F359" s="177"/>
      <c r="G359" s="177"/>
      <c r="H359" s="177"/>
      <c r="I359" s="177"/>
      <c r="J359" s="175" t="str">
        <f t="shared" si="5"/>
        <v/>
      </c>
    </row>
    <row r="360" spans="1:10" x14ac:dyDescent="0.3">
      <c r="A360">
        <v>347</v>
      </c>
      <c r="B360" s="174"/>
      <c r="C360" s="177"/>
      <c r="D360" s="177"/>
      <c r="E360" s="177"/>
      <c r="F360" s="177"/>
      <c r="G360" s="177"/>
      <c r="H360" s="177"/>
      <c r="I360" s="177"/>
      <c r="J360" s="175" t="str">
        <f t="shared" si="5"/>
        <v/>
      </c>
    </row>
    <row r="361" spans="1:10" x14ac:dyDescent="0.3">
      <c r="A361">
        <v>348</v>
      </c>
      <c r="B361" s="174"/>
      <c r="C361" s="177"/>
      <c r="D361" s="177"/>
      <c r="E361" s="177"/>
      <c r="F361" s="177"/>
      <c r="G361" s="177"/>
      <c r="H361" s="177"/>
      <c r="I361" s="177"/>
      <c r="J361" s="175" t="str">
        <f t="shared" si="5"/>
        <v/>
      </c>
    </row>
    <row r="362" spans="1:10" x14ac:dyDescent="0.3">
      <c r="A362">
        <v>349</v>
      </c>
      <c r="B362" s="174"/>
      <c r="C362" s="177"/>
      <c r="D362" s="177"/>
      <c r="E362" s="177"/>
      <c r="F362" s="177"/>
      <c r="G362" s="177"/>
      <c r="H362" s="177"/>
      <c r="I362" s="177"/>
      <c r="J362" s="175" t="str">
        <f t="shared" si="5"/>
        <v/>
      </c>
    </row>
    <row r="363" spans="1:10" x14ac:dyDescent="0.3">
      <c r="A363">
        <v>350</v>
      </c>
      <c r="B363" s="174"/>
      <c r="C363" s="177"/>
      <c r="D363" s="177"/>
      <c r="E363" s="177"/>
      <c r="F363" s="177"/>
      <c r="G363" s="177"/>
      <c r="H363" s="177"/>
      <c r="I363" s="177"/>
      <c r="J363" s="175" t="str">
        <f t="shared" si="5"/>
        <v/>
      </c>
    </row>
    <row r="364" spans="1:10" x14ac:dyDescent="0.3">
      <c r="A364">
        <v>351</v>
      </c>
      <c r="B364" s="174"/>
      <c r="C364" s="177"/>
      <c r="D364" s="177"/>
      <c r="E364" s="177"/>
      <c r="F364" s="177"/>
      <c r="G364" s="177"/>
      <c r="H364" s="177"/>
      <c r="I364" s="177"/>
      <c r="J364" s="175" t="str">
        <f t="shared" si="5"/>
        <v/>
      </c>
    </row>
    <row r="365" spans="1:10" x14ac:dyDescent="0.3">
      <c r="A365">
        <v>352</v>
      </c>
      <c r="B365" s="174"/>
      <c r="C365" s="177"/>
      <c r="D365" s="177"/>
      <c r="E365" s="177"/>
      <c r="F365" s="177"/>
      <c r="G365" s="177"/>
      <c r="H365" s="177"/>
      <c r="I365" s="177"/>
      <c r="J365" s="175" t="str">
        <f t="shared" si="5"/>
        <v/>
      </c>
    </row>
    <row r="366" spans="1:10" x14ac:dyDescent="0.3">
      <c r="A366">
        <v>353</v>
      </c>
      <c r="B366" s="174"/>
      <c r="C366" s="177"/>
      <c r="D366" s="177"/>
      <c r="E366" s="177"/>
      <c r="F366" s="177"/>
      <c r="G366" s="177"/>
      <c r="H366" s="177"/>
      <c r="I366" s="177"/>
      <c r="J366" s="175" t="str">
        <f t="shared" si="5"/>
        <v/>
      </c>
    </row>
    <row r="367" spans="1:10" x14ac:dyDescent="0.3">
      <c r="A367">
        <v>354</v>
      </c>
      <c r="B367" s="174"/>
      <c r="C367" s="177"/>
      <c r="D367" s="177"/>
      <c r="E367" s="177"/>
      <c r="F367" s="177"/>
      <c r="G367" s="177"/>
      <c r="H367" s="177"/>
      <c r="I367" s="177"/>
      <c r="J367" s="175" t="str">
        <f t="shared" si="5"/>
        <v/>
      </c>
    </row>
    <row r="368" spans="1:10" x14ac:dyDescent="0.3">
      <c r="A368">
        <v>355</v>
      </c>
      <c r="B368" s="174"/>
      <c r="C368" s="177"/>
      <c r="D368" s="177"/>
      <c r="E368" s="177"/>
      <c r="F368" s="177"/>
      <c r="G368" s="177"/>
      <c r="H368" s="177"/>
      <c r="I368" s="177"/>
      <c r="J368" s="175" t="str">
        <f t="shared" si="5"/>
        <v/>
      </c>
    </row>
    <row r="369" spans="1:10" x14ac:dyDescent="0.3">
      <c r="A369">
        <v>356</v>
      </c>
      <c r="B369" s="174"/>
      <c r="C369" s="177"/>
      <c r="D369" s="177"/>
      <c r="E369" s="177"/>
      <c r="F369" s="177"/>
      <c r="G369" s="177"/>
      <c r="H369" s="177"/>
      <c r="I369" s="177"/>
      <c r="J369" s="175" t="str">
        <f t="shared" si="5"/>
        <v/>
      </c>
    </row>
    <row r="370" spans="1:10" x14ac:dyDescent="0.3">
      <c r="A370">
        <v>357</v>
      </c>
      <c r="B370" s="174"/>
      <c r="C370" s="177"/>
      <c r="D370" s="177"/>
      <c r="E370" s="177"/>
      <c r="F370" s="177"/>
      <c r="G370" s="177"/>
      <c r="H370" s="177"/>
      <c r="I370" s="177"/>
      <c r="J370" s="175" t="str">
        <f t="shared" si="5"/>
        <v/>
      </c>
    </row>
    <row r="371" spans="1:10" x14ac:dyDescent="0.3">
      <c r="A371">
        <v>358</v>
      </c>
      <c r="B371" s="174"/>
      <c r="C371" s="177"/>
      <c r="D371" s="177"/>
      <c r="E371" s="177"/>
      <c r="F371" s="177"/>
      <c r="G371" s="177"/>
      <c r="H371" s="177"/>
      <c r="I371" s="177"/>
      <c r="J371" s="175" t="str">
        <f t="shared" si="5"/>
        <v/>
      </c>
    </row>
    <row r="372" spans="1:10" x14ac:dyDescent="0.3">
      <c r="A372">
        <v>359</v>
      </c>
      <c r="B372" s="174"/>
      <c r="C372" s="177"/>
      <c r="D372" s="177"/>
      <c r="E372" s="177"/>
      <c r="F372" s="177"/>
      <c r="G372" s="177"/>
      <c r="H372" s="177"/>
      <c r="I372" s="177"/>
      <c r="J372" s="175" t="str">
        <f t="shared" si="5"/>
        <v/>
      </c>
    </row>
    <row r="373" spans="1:10" x14ac:dyDescent="0.3">
      <c r="A373">
        <v>360</v>
      </c>
      <c r="B373" s="174"/>
      <c r="C373" s="177"/>
      <c r="D373" s="177"/>
      <c r="E373" s="177"/>
      <c r="F373" s="177"/>
      <c r="G373" s="177"/>
      <c r="H373" s="177"/>
      <c r="I373" s="177"/>
      <c r="J373" s="175" t="str">
        <f t="shared" si="5"/>
        <v/>
      </c>
    </row>
  </sheetData>
  <mergeCells count="5">
    <mergeCell ref="L14:O18"/>
    <mergeCell ref="B1:J1"/>
    <mergeCell ref="C3:F3"/>
    <mergeCell ref="C4:F4"/>
    <mergeCell ref="C5:F5"/>
  </mergeCells>
  <dataValidations count="1">
    <dataValidation type="decimal" operator="greaterThanOrEqual" allowBlank="1" showInputMessage="1" showErrorMessage="1" sqref="C13:I373" xr:uid="{00000000-0002-0000-0600-000000000000}">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600"/>
  </sheetPr>
  <dimension ref="C3:P28"/>
  <sheetViews>
    <sheetView showGridLines="0" rightToLeft="1" zoomScale="130" zoomScaleNormal="130" workbookViewId="0">
      <selection activeCell="B6" sqref="B6"/>
    </sheetView>
  </sheetViews>
  <sheetFormatPr defaultColWidth="8.88671875" defaultRowHeight="18" x14ac:dyDescent="0.5"/>
  <cols>
    <col min="1" max="3" width="8.88671875" style="120"/>
    <col min="4" max="4" width="20.44140625" style="120" customWidth="1"/>
    <col min="5" max="16384" width="8.88671875" style="120"/>
  </cols>
  <sheetData>
    <row r="3" spans="4:16" x14ac:dyDescent="0.5">
      <c r="D3" s="240" t="s">
        <v>56</v>
      </c>
      <c r="E3" s="240"/>
      <c r="F3" s="240"/>
      <c r="G3" s="240"/>
      <c r="H3" s="240"/>
      <c r="I3" s="240"/>
      <c r="J3" s="240"/>
      <c r="K3" s="240"/>
      <c r="L3" s="240"/>
      <c r="M3" s="240"/>
      <c r="N3" s="240"/>
      <c r="P3" s="121"/>
    </row>
    <row r="4" spans="4:16" ht="22.35" customHeight="1" x14ac:dyDescent="0.5">
      <c r="D4" s="241" t="s">
        <v>57</v>
      </c>
      <c r="E4" s="244" t="s">
        <v>64</v>
      </c>
      <c r="F4" s="244"/>
      <c r="G4" s="244"/>
      <c r="H4" s="244"/>
      <c r="I4" s="244"/>
      <c r="J4" s="244"/>
      <c r="K4" s="244"/>
      <c r="L4" s="244"/>
      <c r="M4" s="244"/>
      <c r="N4" s="244"/>
    </row>
    <row r="5" spans="4:16" ht="22.35" customHeight="1" x14ac:dyDescent="0.5">
      <c r="D5" s="242"/>
      <c r="E5" s="244"/>
      <c r="F5" s="244"/>
      <c r="G5" s="244"/>
      <c r="H5" s="244"/>
      <c r="I5" s="244"/>
      <c r="J5" s="244"/>
      <c r="K5" s="244"/>
      <c r="L5" s="244"/>
      <c r="M5" s="244"/>
      <c r="N5" s="244"/>
    </row>
    <row r="6" spans="4:16" ht="73.349999999999994" customHeight="1" x14ac:dyDescent="0.5">
      <c r="D6" s="143" t="s">
        <v>1</v>
      </c>
      <c r="E6" s="237"/>
      <c r="F6" s="238"/>
      <c r="G6" s="238"/>
      <c r="H6" s="238"/>
      <c r="I6" s="238"/>
      <c r="J6" s="238"/>
      <c r="K6" s="238"/>
      <c r="L6" s="238"/>
      <c r="M6" s="238"/>
      <c r="N6" s="239"/>
    </row>
    <row r="7" spans="4:16" x14ac:dyDescent="0.5">
      <c r="D7" s="144" t="s">
        <v>0</v>
      </c>
      <c r="E7" s="232">
        <v>4.3299999999999998E-2</v>
      </c>
      <c r="F7" s="233"/>
      <c r="G7" s="233"/>
      <c r="H7" s="233"/>
      <c r="I7" s="233"/>
      <c r="J7" s="233"/>
      <c r="K7" s="233"/>
      <c r="L7" s="233"/>
      <c r="M7" s="233"/>
      <c r="N7" s="234"/>
    </row>
    <row r="10" spans="4:16" x14ac:dyDescent="0.5">
      <c r="D10" s="240" t="s">
        <v>58</v>
      </c>
      <c r="E10" s="240"/>
      <c r="F10" s="240"/>
      <c r="G10" s="240"/>
      <c r="H10" s="240"/>
      <c r="I10" s="240"/>
      <c r="J10" s="240"/>
      <c r="K10" s="240"/>
      <c r="L10" s="240"/>
      <c r="M10" s="240"/>
      <c r="N10" s="240"/>
    </row>
    <row r="11" spans="4:16" ht="36.6" customHeight="1" x14ac:dyDescent="0.5">
      <c r="D11" s="241" t="s">
        <v>57</v>
      </c>
      <c r="E11" s="244" t="s">
        <v>96</v>
      </c>
      <c r="F11" s="244"/>
      <c r="G11" s="244"/>
      <c r="H11" s="244"/>
      <c r="I11" s="244"/>
      <c r="J11" s="244"/>
      <c r="K11" s="244"/>
      <c r="L11" s="244"/>
      <c r="M11" s="244"/>
      <c r="N11" s="244"/>
    </row>
    <row r="12" spans="4:16" ht="36.6" customHeight="1" x14ac:dyDescent="0.5">
      <c r="D12" s="242"/>
      <c r="E12" s="244"/>
      <c r="F12" s="244"/>
      <c r="G12" s="244"/>
      <c r="H12" s="244"/>
      <c r="I12" s="244"/>
      <c r="J12" s="244"/>
      <c r="K12" s="244"/>
      <c r="L12" s="244"/>
      <c r="M12" s="244"/>
      <c r="N12" s="244"/>
    </row>
    <row r="13" spans="4:16" ht="59.4" customHeight="1" x14ac:dyDescent="0.5">
      <c r="D13" s="143" t="s">
        <v>1</v>
      </c>
      <c r="E13" s="237"/>
      <c r="F13" s="238"/>
      <c r="G13" s="238"/>
      <c r="H13" s="238"/>
      <c r="I13" s="238"/>
      <c r="J13" s="238"/>
      <c r="K13" s="238"/>
      <c r="L13" s="238"/>
      <c r="M13" s="238"/>
      <c r="N13" s="239"/>
    </row>
    <row r="14" spans="4:16" x14ac:dyDescent="0.5">
      <c r="D14" s="144" t="s">
        <v>0</v>
      </c>
      <c r="E14" s="232">
        <v>0.1003</v>
      </c>
      <c r="F14" s="233"/>
      <c r="G14" s="233"/>
      <c r="H14" s="233"/>
      <c r="I14" s="233"/>
      <c r="J14" s="233"/>
      <c r="K14" s="233"/>
      <c r="L14" s="233"/>
      <c r="M14" s="233"/>
      <c r="N14" s="234"/>
    </row>
    <row r="16" spans="4:16" x14ac:dyDescent="0.5">
      <c r="D16" s="240" t="s">
        <v>59</v>
      </c>
      <c r="E16" s="240"/>
      <c r="F16" s="240"/>
      <c r="G16" s="240"/>
      <c r="H16" s="240"/>
      <c r="I16" s="240"/>
      <c r="J16" s="240"/>
      <c r="K16" s="240"/>
      <c r="L16" s="240"/>
      <c r="M16" s="240"/>
      <c r="N16" s="240"/>
    </row>
    <row r="17" spans="3:14" ht="33" customHeight="1" x14ac:dyDescent="0.5">
      <c r="D17" s="241" t="s">
        <v>57</v>
      </c>
      <c r="E17" s="244" t="s">
        <v>129</v>
      </c>
      <c r="F17" s="244"/>
      <c r="G17" s="244"/>
      <c r="H17" s="244"/>
      <c r="I17" s="244"/>
      <c r="J17" s="244"/>
      <c r="K17" s="244"/>
      <c r="L17" s="244"/>
      <c r="M17" s="244"/>
      <c r="N17" s="244"/>
    </row>
    <row r="18" spans="3:14" ht="33" customHeight="1" x14ac:dyDescent="0.5">
      <c r="D18" s="242"/>
      <c r="E18" s="244"/>
      <c r="F18" s="244"/>
      <c r="G18" s="244"/>
      <c r="H18" s="244"/>
      <c r="I18" s="244"/>
      <c r="J18" s="244"/>
      <c r="K18" s="244"/>
      <c r="L18" s="244"/>
      <c r="M18" s="244"/>
      <c r="N18" s="244"/>
    </row>
    <row r="19" spans="3:14" ht="48" customHeight="1" x14ac:dyDescent="0.5">
      <c r="D19" s="143" t="s">
        <v>1</v>
      </c>
      <c r="E19" s="237"/>
      <c r="F19" s="238"/>
      <c r="G19" s="238"/>
      <c r="H19" s="238"/>
      <c r="I19" s="238"/>
      <c r="J19" s="238"/>
      <c r="K19" s="238"/>
      <c r="L19" s="238"/>
      <c r="M19" s="238"/>
      <c r="N19" s="239"/>
    </row>
    <row r="20" spans="3:14" x14ac:dyDescent="0.5">
      <c r="D20" s="144" t="s">
        <v>0</v>
      </c>
      <c r="E20" s="232">
        <v>2.4E-2</v>
      </c>
      <c r="F20" s="233"/>
      <c r="G20" s="233"/>
      <c r="H20" s="233"/>
      <c r="I20" s="233"/>
      <c r="J20" s="233"/>
      <c r="K20" s="233"/>
      <c r="L20" s="233"/>
      <c r="M20" s="233"/>
      <c r="N20" s="234"/>
    </row>
    <row r="22" spans="3:14" x14ac:dyDescent="0.5">
      <c r="D22" s="240" t="s">
        <v>97</v>
      </c>
      <c r="E22" s="240"/>
      <c r="F22" s="240"/>
      <c r="G22" s="240"/>
      <c r="H22" s="240"/>
      <c r="I22" s="240"/>
      <c r="J22" s="240"/>
      <c r="K22" s="240"/>
      <c r="L22" s="240"/>
      <c r="M22" s="240"/>
      <c r="N22" s="240"/>
    </row>
    <row r="23" spans="3:14" ht="22.65" customHeight="1" x14ac:dyDescent="0.5">
      <c r="D23" s="241" t="s">
        <v>57</v>
      </c>
      <c r="E23" s="243" t="s">
        <v>130</v>
      </c>
      <c r="F23" s="243"/>
      <c r="G23" s="243"/>
      <c r="H23" s="243"/>
      <c r="I23" s="243"/>
      <c r="J23" s="243"/>
      <c r="K23" s="243"/>
      <c r="L23" s="243"/>
      <c r="M23" s="243"/>
      <c r="N23" s="243"/>
    </row>
    <row r="24" spans="3:14" ht="22.65" customHeight="1" x14ac:dyDescent="0.5">
      <c r="D24" s="242"/>
      <c r="E24" s="243"/>
      <c r="F24" s="243"/>
      <c r="G24" s="243"/>
      <c r="H24" s="243"/>
      <c r="I24" s="243"/>
      <c r="J24" s="243"/>
      <c r="K24" s="243"/>
      <c r="L24" s="243"/>
      <c r="M24" s="243"/>
      <c r="N24" s="243"/>
    </row>
    <row r="25" spans="3:14" ht="49.65" customHeight="1" x14ac:dyDescent="0.5">
      <c r="D25" s="143" t="s">
        <v>1</v>
      </c>
      <c r="E25" s="237"/>
      <c r="F25" s="238"/>
      <c r="G25" s="238"/>
      <c r="H25" s="238"/>
      <c r="I25" s="238"/>
      <c r="J25" s="238"/>
      <c r="K25" s="238"/>
      <c r="L25" s="238"/>
      <c r="M25" s="238"/>
      <c r="N25" s="239"/>
    </row>
    <row r="26" spans="3:14" x14ac:dyDescent="0.5">
      <c r="D26" s="144" t="s">
        <v>0</v>
      </c>
      <c r="E26" s="232">
        <v>0.13769999999999999</v>
      </c>
      <c r="F26" s="233"/>
      <c r="G26" s="233"/>
      <c r="H26" s="233"/>
      <c r="I26" s="233"/>
      <c r="J26" s="233"/>
      <c r="K26" s="233"/>
      <c r="L26" s="233"/>
      <c r="M26" s="233"/>
      <c r="N26" s="234"/>
    </row>
    <row r="28" spans="3:14" ht="77.099999999999994" customHeight="1" x14ac:dyDescent="0.5">
      <c r="C28" s="235" t="s">
        <v>144</v>
      </c>
      <c r="D28" s="236"/>
      <c r="E28" s="236"/>
      <c r="F28" s="236"/>
      <c r="G28" s="236"/>
      <c r="H28" s="236"/>
      <c r="I28" s="236"/>
      <c r="J28" s="236"/>
      <c r="K28" s="236"/>
      <c r="L28" s="236"/>
      <c r="M28" s="236"/>
      <c r="N28" s="236"/>
    </row>
  </sheetData>
  <mergeCells count="21">
    <mergeCell ref="D17:D18"/>
    <mergeCell ref="E17:N18"/>
    <mergeCell ref="D3:N3"/>
    <mergeCell ref="D4:D5"/>
    <mergeCell ref="E4:N5"/>
    <mergeCell ref="E6:N6"/>
    <mergeCell ref="E7:N7"/>
    <mergeCell ref="D10:N10"/>
    <mergeCell ref="D11:D12"/>
    <mergeCell ref="E11:N12"/>
    <mergeCell ref="E13:N13"/>
    <mergeCell ref="E14:N14"/>
    <mergeCell ref="D16:N16"/>
    <mergeCell ref="E26:N26"/>
    <mergeCell ref="C28:N28"/>
    <mergeCell ref="E19:N19"/>
    <mergeCell ref="E20:N20"/>
    <mergeCell ref="D22:N22"/>
    <mergeCell ref="D23:D24"/>
    <mergeCell ref="E23:N24"/>
    <mergeCell ref="E25:N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sheetPr>
  <dimension ref="A1:C28"/>
  <sheetViews>
    <sheetView showGridLines="0" rightToLeft="1" zoomScale="115" zoomScaleNormal="115" workbookViewId="0">
      <selection activeCell="A6" sqref="A6"/>
    </sheetView>
  </sheetViews>
  <sheetFormatPr defaultColWidth="0" defaultRowHeight="14.4" zeroHeight="1" x14ac:dyDescent="0.3"/>
  <cols>
    <col min="1" max="1" width="131.5546875" style="103" bestFit="1" customWidth="1"/>
    <col min="2" max="3" width="9.109375" customWidth="1"/>
    <col min="4" max="16384" width="9.109375" hidden="1"/>
  </cols>
  <sheetData>
    <row r="1" spans="1:1" x14ac:dyDescent="0.3"/>
    <row r="2" spans="1:1" ht="21.6" x14ac:dyDescent="0.3">
      <c r="A2" s="132" t="s">
        <v>101</v>
      </c>
    </row>
    <row r="3" spans="1:1" ht="75" customHeight="1" x14ac:dyDescent="0.3">
      <c r="A3" s="134" t="s">
        <v>102</v>
      </c>
    </row>
    <row r="4" spans="1:1" x14ac:dyDescent="0.3"/>
    <row r="5" spans="1:1" ht="21.6" x14ac:dyDescent="0.3">
      <c r="A5" s="132" t="s">
        <v>103</v>
      </c>
    </row>
    <row r="6" spans="1:1" ht="64.8" x14ac:dyDescent="0.3">
      <c r="A6" s="106" t="s">
        <v>104</v>
      </c>
    </row>
    <row r="7" spans="1:1" x14ac:dyDescent="0.3"/>
    <row r="8" spans="1:1" x14ac:dyDescent="0.3"/>
    <row r="9" spans="1:1" ht="21.6" x14ac:dyDescent="0.3">
      <c r="A9" s="132" t="s">
        <v>99</v>
      </c>
    </row>
    <row r="10" spans="1:1" ht="64.8" x14ac:dyDescent="0.3">
      <c r="A10" s="138" t="s">
        <v>136</v>
      </c>
    </row>
    <row r="11" spans="1:1" ht="55.65" customHeight="1" x14ac:dyDescent="0.3">
      <c r="A11" s="139" t="s">
        <v>106</v>
      </c>
    </row>
    <row r="12" spans="1:1" ht="34.35" customHeight="1" x14ac:dyDescent="0.3">
      <c r="A12" s="140" t="s">
        <v>137</v>
      </c>
    </row>
    <row r="13" spans="1:1" x14ac:dyDescent="0.3"/>
    <row r="14" spans="1:1" ht="21.6" x14ac:dyDescent="0.3">
      <c r="A14" s="132" t="s">
        <v>98</v>
      </c>
    </row>
    <row r="15" spans="1:1" ht="43.2" x14ac:dyDescent="0.3">
      <c r="A15" s="139" t="s">
        <v>138</v>
      </c>
    </row>
    <row r="16" spans="1:1" ht="21.6" x14ac:dyDescent="0.3">
      <c r="A16" s="104" t="s">
        <v>107</v>
      </c>
    </row>
    <row r="17" spans="1:1" ht="21.6" x14ac:dyDescent="0.3">
      <c r="A17" s="104" t="s">
        <v>108</v>
      </c>
    </row>
    <row r="18" spans="1:1" ht="21.6" x14ac:dyDescent="0.3">
      <c r="A18" s="158" t="s">
        <v>145</v>
      </c>
    </row>
    <row r="19" spans="1:1" ht="21.6" x14ac:dyDescent="0.3">
      <c r="A19" s="105" t="s">
        <v>131</v>
      </c>
    </row>
    <row r="20" spans="1:1" x14ac:dyDescent="0.3"/>
    <row r="21" spans="1:1" ht="21.6" x14ac:dyDescent="0.3">
      <c r="A21" s="133" t="s">
        <v>105</v>
      </c>
    </row>
    <row r="22" spans="1:1" ht="21.6" x14ac:dyDescent="0.3">
      <c r="A22" s="135" t="s">
        <v>100</v>
      </c>
    </row>
    <row r="23" spans="1:1" x14ac:dyDescent="0.3"/>
    <row r="24" spans="1:1" ht="21.6" x14ac:dyDescent="0.3">
      <c r="A24" s="133" t="s">
        <v>73</v>
      </c>
    </row>
    <row r="25" spans="1:1" ht="21.6" x14ac:dyDescent="0.3">
      <c r="A25" s="136" t="s">
        <v>109</v>
      </c>
    </row>
    <row r="26" spans="1:1" x14ac:dyDescent="0.3"/>
    <row r="27" spans="1:1" x14ac:dyDescent="0.3"/>
    <row r="28" spans="1:1"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2322e-1447-41e6-8e12-af9c90863e9c">
      <Value>14</Value>
    </TaxCatchAll>
    <ChoiceField_Migration xmlns="82ae89bb-0453-4ebf-85da-7efcc0660f64" xsi:nil="true"/>
    <SAMAFilePublishDate xmlns="82ae89bb-0453-4ebf-85da-7efcc0660f64">2023-10-31T21:00:00+00:00</SAMAFilePublish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انظمة وتعليمات التمويل لمؤسسة النقد العربي السعودي" ma:contentTypeID="0x0101007AEBB79473194FBABE3B817BDE9A76DA00118AB6155194844A8E76482A56DDECE3" ma:contentTypeVersion="12" ma:contentTypeDescription="انظمة وتعليمات التمويل" ma:contentTypeScope="" ma:versionID="2d774c35dabd786a7bf3c878f72f7661">
  <xsd:schema xmlns:xsd="http://www.w3.org/2001/XMLSchema" xmlns:xs="http://www.w3.org/2001/XMLSchema" xmlns:p="http://schemas.microsoft.com/office/2006/metadata/properties" xmlns:ns2="82ae89bb-0453-4ebf-85da-7efcc0660f64" xmlns:ns3="c6d2322e-1447-41e6-8e12-af9c90863e9c" targetNamespace="http://schemas.microsoft.com/office/2006/metadata/properties" ma:root="true" ma:fieldsID="0ab72f5ffe4647c86266bbb386c73752" ns2:_="" ns3:_="">
    <xsd:import namespace="82ae89bb-0453-4ebf-85da-7efcc0660f64"/>
    <xsd:import namespace="c6d2322e-1447-41e6-8e12-af9c90863e9c"/>
    <xsd:element name="properties">
      <xsd:complexType>
        <xsd:sequence>
          <xsd:element name="documentManagement">
            <xsd:complexType>
              <xsd:all>
                <xsd:element ref="ns2:SAMAFilePublishDate" minOccurs="0"/>
                <xsd:element ref="ns2:ChoiceField_Migr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e89bb-0453-4ebf-85da-7efcc0660f64"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ma:readOnly="false">
      <xsd:simpleType>
        <xsd:restriction base="dms:DateTime"/>
      </xsd:simpleType>
    </xsd:element>
    <xsd:element name="ChoiceField_Migration" ma:index="10" nillable="true" ma:displayName="ChoiceField_Migration" ma:internalName="ChoiceField_Migra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754530d6-6e73-48b4-b8b5-7143321fdc71}" ma:internalName="TaxCatchAll" ma:readOnly="false"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98CB9-8FE3-481B-ADA0-625E2C94B371}">
  <ds:schemaRefs>
    <ds:schemaRef ds:uri="http://schemas.microsoft.com/office/2006/metadata/properties"/>
    <ds:schemaRef ds:uri="http://schemas.microsoft.com/office/infopath/2007/PartnerControls"/>
    <ds:schemaRef ds:uri="fd6d702b-8c04-4095-b7e6-3a5180c8a9f9"/>
    <ds:schemaRef ds:uri="c6d2322e-1447-41e6-8e12-af9c90863e9c"/>
  </ds:schemaRefs>
</ds:datastoreItem>
</file>

<file path=customXml/itemProps2.xml><?xml version="1.0" encoding="utf-8"?>
<ds:datastoreItem xmlns:ds="http://schemas.openxmlformats.org/officeDocument/2006/customXml" ds:itemID="{4B7215DD-CA30-4DC1-BE24-D58129210082}">
  <ds:schemaRefs>
    <ds:schemaRef ds:uri="http://schemas.microsoft.com/sharepoint/v3/contenttype/forms"/>
  </ds:schemaRefs>
</ds:datastoreItem>
</file>

<file path=customXml/itemProps3.xml><?xml version="1.0" encoding="utf-8"?>
<ds:datastoreItem xmlns:ds="http://schemas.openxmlformats.org/officeDocument/2006/customXml" ds:itemID="{7CD61160-0BD7-4D0C-BF5C-1D5DCD3C1D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التعريفات</vt:lpstr>
      <vt:lpstr>المدخلات</vt:lpstr>
      <vt:lpstr>التمويل الشخصي</vt:lpstr>
      <vt:lpstr>التمويل التأجيري</vt:lpstr>
      <vt:lpstr>التمويل العقاري</vt:lpstr>
      <vt:lpstr>بطاقات الائتمان</vt:lpstr>
      <vt:lpstr>الاقساط الغير متجانسة</vt:lpstr>
      <vt:lpstr>امثلة</vt:lpstr>
      <vt:lpstr>الاسئلة المتكررة</vt:lpstr>
      <vt:lpstr>مدخلات (متوسط التأمين)</vt:lpstr>
      <vt:lpstr>التمويل التأجيري -متوسط التأمين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حاسبة معدل النسبة السنوي (APR)</dc:title>
  <dc:creator>Ruchi Batra</dc:creator>
  <cp:lastModifiedBy>Fatima Hamdoun (MiddleEast)</cp:lastModifiedBy>
  <cp:lastPrinted>2022-04-17T07:51:20Z</cp:lastPrinted>
  <dcterms:created xsi:type="dcterms:W3CDTF">2021-12-01T07:33:33Z</dcterms:created>
  <dcterms:modified xsi:type="dcterms:W3CDTF">2024-01-08T10:54:36Z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0x0101007AEBB79473194FBABE3B817BDE9A76DA00118AB6155194844A8E76482A56DDECE3</vt:lpwstr>
  </property>
  <property fmtid="{D5CDD505-2E9C-101B-9397-08002B2CF9AE}" pid="3" name="SAMAConsumerCategory">
    <vt:lpwstr>37;#قواعد- لوائح|4f68a7b3-e45d-4b2c-9c7f-28b18b60dabf</vt:lpwstr>
  </property>
  <property fmtid="{D5CDD505-2E9C-101B-9397-08002B2CF9AE}" pid="4" name="SAMAConsumerCategoryTaxHTField0">
    <vt:lpwstr>قواعد- لوائح|4f68a7b3-e45d-4b2c-9c7f-28b18b60dabf</vt:lpwstr>
  </property>
  <property fmtid="{D5CDD505-2E9C-101B-9397-08002B2CF9AE}" pid="5" name="Order">
    <vt:r8>1300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ComplianceAssetId">
    <vt:lpwstr/>
  </property>
  <property fmtid="{D5CDD505-2E9C-101B-9397-08002B2CF9AE}" pid="12" name="SAMAFinanceCategoryTaxHTField0">
    <vt:lpwstr>قواعد- لوائح|d5d94444-9d9a-4b8f-8891-70b17b24ec81</vt:lpwstr>
  </property>
  <property fmtid="{D5CDD505-2E9C-101B-9397-08002B2CF9AE}" pid="13" name="SAMAFinanceCategory">
    <vt:lpwstr>14;#قواعد- لوائح|d5d94444-9d9a-4b8f-8891-70b17b24ec81</vt:lpwstr>
  </property>
</Properties>
</file>